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440"/>
  </bookViews>
  <sheets>
    <sheet name="POA2015" sheetId="1" r:id="rId1"/>
  </sheets>
  <externalReferences>
    <externalReference r:id="rId2"/>
    <externalReference r:id="rId3"/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AE40" i="1"/>
  <c r="AF40" s="1"/>
  <c r="AD40"/>
  <c r="Q40"/>
  <c r="AH40" s="1"/>
  <c r="Q39"/>
  <c r="X39" s="1"/>
  <c r="AD39" s="1"/>
  <c r="N39"/>
  <c r="N38" s="1"/>
  <c r="Q38" s="1"/>
  <c r="AE37"/>
  <c r="AD37"/>
  <c r="AF37" s="1"/>
  <c r="AD36"/>
  <c r="AE36" s="1"/>
  <c r="Y36"/>
  <c r="AC35"/>
  <c r="AD35" s="1"/>
  <c r="Q35"/>
  <c r="AC34"/>
  <c r="AD34" s="1"/>
  <c r="P34"/>
  <c r="Q34" s="1"/>
  <c r="AD33"/>
  <c r="AE33" s="1"/>
  <c r="AF33" s="1"/>
  <c r="Q33"/>
  <c r="AH33" s="1"/>
  <c r="AD32"/>
  <c r="AE32" s="1"/>
  <c r="Q32"/>
  <c r="AH32" s="1"/>
  <c r="AD31"/>
  <c r="AC31"/>
  <c r="V31"/>
  <c r="Q31"/>
  <c r="AD30"/>
  <c r="AE30" s="1"/>
  <c r="Q30"/>
  <c r="AD29"/>
  <c r="AE29" s="1"/>
  <c r="Q29"/>
  <c r="AH28"/>
  <c r="AE28"/>
  <c r="AF28" s="1"/>
  <c r="AD28"/>
  <c r="X27"/>
  <c r="AD27" s="1"/>
  <c r="Q27"/>
  <c r="X26"/>
  <c r="AD26" s="1"/>
  <c r="Q26"/>
  <c r="AD25"/>
  <c r="AH25" s="1"/>
  <c r="Q25"/>
  <c r="X24"/>
  <c r="AD24" s="1"/>
  <c r="N24"/>
  <c r="AD23"/>
  <c r="P23"/>
  <c r="AB22"/>
  <c r="Z22"/>
  <c r="X22"/>
  <c r="V22"/>
  <c r="AD22" s="1"/>
  <c r="Q22"/>
  <c r="AE21"/>
  <c r="AD21"/>
  <c r="AH21" s="1"/>
  <c r="U21"/>
  <c r="AE20"/>
  <c r="AD20"/>
  <c r="AF20" s="1"/>
  <c r="Q20"/>
  <c r="AC19"/>
  <c r="AA19"/>
  <c r="Y19"/>
  <c r="S19"/>
  <c r="Q19"/>
  <c r="AC18"/>
  <c r="AB18"/>
  <c r="AA18"/>
  <c r="Z18"/>
  <c r="Y18"/>
  <c r="X18"/>
  <c r="T18"/>
  <c r="O18"/>
  <c r="Q18" s="1"/>
  <c r="Z17"/>
  <c r="Y17"/>
  <c r="AA17" s="1"/>
  <c r="X17"/>
  <c r="W17"/>
  <c r="V17"/>
  <c r="U17"/>
  <c r="Q17"/>
  <c r="AC16"/>
  <c r="U16"/>
  <c r="AD16" s="1"/>
  <c r="S16"/>
  <c r="O16"/>
  <c r="O41" s="1"/>
  <c r="Y15"/>
  <c r="AD15" s="1"/>
  <c r="Q15"/>
  <c r="AD14"/>
  <c r="Q14"/>
  <c r="AC13"/>
  <c r="AB13"/>
  <c r="AA13"/>
  <c r="Z13"/>
  <c r="Y13"/>
  <c r="X13"/>
  <c r="W13"/>
  <c r="V13"/>
  <c r="U13"/>
  <c r="T13"/>
  <c r="S13"/>
  <c r="R13"/>
  <c r="Q13"/>
  <c r="AD13" l="1"/>
  <c r="AH14"/>
  <c r="AD17"/>
  <c r="AD18"/>
  <c r="AE18" s="1"/>
  <c r="AF18" s="1"/>
  <c r="AD19"/>
  <c r="AH20"/>
  <c r="AE14"/>
  <c r="AF14" s="1"/>
  <c r="Q16"/>
  <c r="AF21"/>
  <c r="AE31"/>
  <c r="AF31" s="1"/>
  <c r="AE25"/>
  <c r="AH30"/>
  <c r="AH17"/>
  <c r="AH18"/>
  <c r="AH19"/>
  <c r="AE19"/>
  <c r="AF19" s="1"/>
  <c r="AH34"/>
  <c r="AE27"/>
  <c r="AF27"/>
  <c r="AH27"/>
  <c r="S38"/>
  <c r="AD38" s="1"/>
  <c r="AE38" s="1"/>
  <c r="AE16"/>
  <c r="AF16" s="1"/>
  <c r="AE17"/>
  <c r="AF17" s="1"/>
  <c r="AE24"/>
  <c r="AF24" s="1"/>
  <c r="AE34"/>
  <c r="AF34" s="1"/>
  <c r="AE35"/>
  <c r="AF35" s="1"/>
  <c r="AH35"/>
  <c r="AE13"/>
  <c r="AF13" s="1"/>
  <c r="AD41"/>
  <c r="AH13"/>
  <c r="AE15"/>
  <c r="AF15" s="1"/>
  <c r="AH15"/>
  <c r="AH16"/>
  <c r="AH22"/>
  <c r="AE22"/>
  <c r="AF22" s="1"/>
  <c r="AH26"/>
  <c r="AE26"/>
  <c r="AF26" s="1"/>
  <c r="AH39"/>
  <c r="AH29"/>
  <c r="AF30"/>
  <c r="AH31"/>
  <c r="AF32"/>
  <c r="AH36"/>
  <c r="AH37"/>
  <c r="AE39"/>
  <c r="AF39" s="1"/>
  <c r="AF29"/>
  <c r="AF36"/>
  <c r="N23"/>
  <c r="Q24"/>
  <c r="AH24" s="1"/>
  <c r="N41" l="1"/>
  <c r="Q23"/>
  <c r="AF38"/>
  <c r="AH38"/>
  <c r="AE23" l="1"/>
  <c r="AH23"/>
  <c r="Q41"/>
  <c r="AF23" l="1"/>
  <c r="AE41"/>
</calcChain>
</file>

<file path=xl/comments1.xml><?xml version="1.0" encoding="utf-8"?>
<comments xmlns="http://schemas.openxmlformats.org/spreadsheetml/2006/main">
  <authors>
    <author>Autor</author>
  </authors>
  <commentList>
    <comment ref="R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418,26 fr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361,8 fr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10579,63 beneficios sociales- decimo cuarto, 418, 26 fr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486,99 fr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520,57 fr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horas extras 3722,70, 520,57 fondo de reserva+ 192,61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1679,05 horas extras, 618, 67 fondo de reserva</t>
        </r>
      </text>
    </comment>
    <comment ref="AA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Sueldos cancelados de fin de mes de septiembre </t>
        </r>
      </text>
    </comment>
    <comment ref="AB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AUMENTA POR HORAS EXTRAS TRES MESES</t>
        </r>
      </text>
    </comment>
    <comment ref="AC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Pendiente de Pago, Horas Extras octubre y noviembre, sueldos y salarios  diciembre .
Esta considerado el décimo.
Faltan las horas extras diciembre  de recibir para calcularlas.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alquiler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graficas rr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 dennessy y kattya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gabriela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viaticos del Ing. david</t>
        </r>
      </text>
    </comment>
    <comment ref="A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Registro Oficial Rogger Devolución de Trámite de Julio y  Pasaje Aéreo del Ing. Chang
</t>
        </r>
      </text>
    </comment>
    <comment ref="A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consumo de diciembre</t>
        </r>
      </text>
    </comment>
    <comment ref="X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INCREMENTA EL PAGO DE PROCESO DE RAMIREZ (SISTEMA) 2013</t>
        </r>
      </text>
    </comment>
    <comment ref="Y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mobiliarios de oficina</t>
        </r>
      </text>
    </comment>
    <comment ref="Z18" authorId="0">
      <text>
        <r>
          <rPr>
            <sz val="9"/>
            <color indexed="81"/>
            <rFont val="Tahoma"/>
            <family val="2"/>
          </rPr>
          <t>copiadora.</t>
        </r>
      </text>
    </comment>
    <comment ref="AA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Laptops y computadora de escritorios</t>
        </r>
      </text>
    </comment>
    <comment ref="AC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AIRE ACONDICIONADO ya cancelado, software de facturacion electrónica, ups, accesorios, consultas online (Pendientes de Pago)</t>
        </r>
      </text>
    </comment>
    <comment ref="AA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mavesa- dos facturas</t>
        </r>
      </text>
    </comment>
    <comment ref="AE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UTILIZADO</t>
        </r>
      </text>
    </comment>
    <comment ref="AI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llantas para tanquero, falta moto
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Consumo de Nov. A Dic.</t>
        </r>
      </text>
    </comment>
    <comment ref="Z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dos facturas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septiembre</t>
        </r>
      </text>
    </comment>
    <comment ref="A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Diciembre consumo , puede variar
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Aire acondicionado y Software de Facturación electrónica)</t>
        </r>
      </text>
    </comment>
    <comment ref="X24" authorId="0">
      <text>
        <r>
          <rPr>
            <b/>
            <sz val="9"/>
            <color indexed="81"/>
            <rFont val="Tahoma"/>
            <family val="2"/>
          </rPr>
          <t xml:space="preserve">Autor:
Camaras Fotográficas
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mantenimiento de equipos
- laboratorio de analisis de agua.</t>
        </r>
      </text>
    </comment>
    <comment ref="V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Villagomez y Villon</t>
        </r>
      </text>
    </comment>
    <comment ref="AA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equipos de protección</t>
        </r>
      </text>
    </comment>
    <comment ref="A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Pendiente de pgo
</t>
        </r>
      </text>
    </comment>
    <comment ref="AA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fact</t>
        </r>
      </text>
    </comment>
    <comment ref="AC35" authorId="0">
      <text>
        <r>
          <rPr>
            <b/>
            <sz val="9"/>
            <color indexed="81"/>
            <rFont val="Tahoma"/>
            <family val="2"/>
          </rPr>
          <t>Lenovo: 
Pendiente de pago : 6.988,80 factura de cisneros estación de bombeo via Jerusalen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pago de Proceso de Tanquero 2014 
Tumbaco Sanchez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pago de Proceso de Tanquero 2014 
Tumbaco Sanchez</t>
        </r>
      </text>
    </comment>
    <comment ref="AC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emergencia (Cambio de Tablero Fumisa)</t>
        </r>
      </text>
    </comment>
  </commentList>
</comments>
</file>

<file path=xl/sharedStrings.xml><?xml version="1.0" encoding="utf-8"?>
<sst xmlns="http://schemas.openxmlformats.org/spreadsheetml/2006/main" count="246" uniqueCount="162">
  <si>
    <t>EMPRESA MUNICIPAL DE AGUA POTABLE Y ALCANTARILLADO PEDRO CARBO-EMPRESA PÚBLICA</t>
  </si>
  <si>
    <t>PLAN OPERATIVO ANUAL (POA)</t>
  </si>
  <si>
    <r>
      <t xml:space="preserve">Año:   </t>
    </r>
    <r>
      <rPr>
        <sz val="22"/>
        <rFont val="Arial"/>
        <family val="2"/>
      </rPr>
      <t>2015</t>
    </r>
  </si>
  <si>
    <t>Dirección: AVENIDA NUEVE DE OCTUBRE ENTRE 24 DE MAYO Y LEOPOLDO GORDÓN</t>
  </si>
  <si>
    <t>Departamento :EMAPAPC-EP</t>
  </si>
  <si>
    <t>No.</t>
  </si>
  <si>
    <t>ARTICULACION</t>
  </si>
  <si>
    <t>PARTIDAS PRESUPUESTARIAS</t>
  </si>
  <si>
    <t xml:space="preserve">COSTOS  </t>
  </si>
  <si>
    <t>Meta del Objetivo</t>
  </si>
  <si>
    <t>Indicador</t>
  </si>
  <si>
    <t>Tiempo previsto para alcanzar la meta</t>
  </si>
  <si>
    <t>Programación de la meta en %</t>
  </si>
  <si>
    <t>Presupuesto total</t>
  </si>
  <si>
    <t xml:space="preserve">REFORMA
</t>
  </si>
  <si>
    <t>REFORMA
DOS</t>
  </si>
  <si>
    <t>PRESUPUESTO CON REFORMA</t>
  </si>
  <si>
    <t>%</t>
  </si>
  <si>
    <t>Observación</t>
  </si>
  <si>
    <t>Responsable</t>
  </si>
  <si>
    <t>Programas, proyectos y actividades clave</t>
  </si>
  <si>
    <t>Objetivo del Plan Nacional de Desarrollo</t>
  </si>
  <si>
    <t>Objetivo estrategico  territorial nacional</t>
  </si>
  <si>
    <t>I trim 2015</t>
  </si>
  <si>
    <t>II trim 2015</t>
  </si>
  <si>
    <t>III trim 2015</t>
  </si>
  <si>
    <t>IV trim 
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</si>
  <si>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</si>
  <si>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</si>
  <si>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</si>
  <si>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</si>
  <si>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</si>
  <si>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</si>
  <si>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</si>
  <si>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</si>
  <si>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</si>
  <si>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</si>
  <si>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</si>
  <si>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</si>
  <si>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utillizado</t>
  </si>
  <si>
    <t>Total 
Disponible</t>
  </si>
  <si>
    <t>de Ejecución</t>
  </si>
  <si>
    <t>Objetivo 6: Garantizar el trabajo estable ,justo y digno en su diversidad de formas</t>
  </si>
  <si>
    <t>Remuneraciones Unificadas</t>
  </si>
  <si>
    <t>Remuneraciones  y salarios del Personal de  EMAPAPC-EP</t>
  </si>
  <si>
    <t>Cumplir con las obligaciones salariales puntuales de la empresa</t>
  </si>
  <si>
    <t>En el año 2015 la EMAPAPC-EP contará con suficientes empleados para brindar un buen servicios a la ciudadanía carbense</t>
  </si>
  <si>
    <t>1 Año</t>
  </si>
  <si>
    <t>Faltan Horas Extras de Diciembre.</t>
  </si>
  <si>
    <t>EMAPAPC-EP</t>
  </si>
  <si>
    <t>BENEFICIOS DE LEY; REMUNERACIONES Y SALARIOS</t>
  </si>
  <si>
    <t>Objetivo 7: Construir y Fortalecer espacios publicos interculturales y de encuentro comun</t>
  </si>
  <si>
    <t>Edificios, Locales y Residencias</t>
  </si>
  <si>
    <t>Alquilar un local para el funcionamiento dela EMAPAPC-EP</t>
  </si>
  <si>
    <t>La Identificación de la EMAPAPC-EP a la ciudadanía carbense</t>
  </si>
  <si>
    <t>En el año 2015 la EMAPAPC-EP mejorará el servicio a los usuarios en un 90%</t>
  </si>
  <si>
    <t>ARRENDAMIENTOS</t>
  </si>
  <si>
    <t>Objetivo 11: Establecer un sistema económico social, solidario y sostenible</t>
  </si>
  <si>
    <t>Edición, Impresión, Reproducción y Publicaciones</t>
  </si>
  <si>
    <t xml:space="preserve">Edición, Impresión, Reproducción, Publicaciones      Difusión  e Información         </t>
  </si>
  <si>
    <t xml:space="preserve">Hacer partícipe al usuario de las funciones que cumple la empresa </t>
  </si>
  <si>
    <t xml:space="preserve">En el año 2015 la EMAPAPC-EP emitirá 5200 comprobante de pago mensuales y se concientizará mediante díptico y perifoneo cuatrimestralmente </t>
  </si>
  <si>
    <t>IMPRESIÓN, PUBLICACIÓN Y DIFUSIÓN</t>
  </si>
  <si>
    <t>Objetivo 2: Mejorar las capacidades y potencialidades de la ciudadanía</t>
  </si>
  <si>
    <t>Servicios de Capacitación</t>
  </si>
  <si>
    <t>Capacitar al personal de la EMAPAPC-EP y Juntas de Agua incluye viáticos y subsistencia</t>
  </si>
  <si>
    <t>Fortalecer los conocimientos de todo el personal</t>
  </si>
  <si>
    <t>Los  empleados serán capacitados</t>
  </si>
  <si>
    <t xml:space="preserve">                                                                                                              </t>
  </si>
  <si>
    <t>CAPACITACIONES</t>
  </si>
  <si>
    <t>Objetivo 3: Mejorar la calidad de vida de la población.                  Objetivo 6: Garantizar el trabajo estable ,justo y digno en su diversidad de formas</t>
  </si>
  <si>
    <t>Energía Eléctrica</t>
  </si>
  <si>
    <t xml:space="preserve">Servicios Básicos de La EMAPAPC-EP y Estaciones de Bombeo de AA.SS ; AA.PP </t>
  </si>
  <si>
    <t>Cancelar oportunamente las planillas de consumo de los servicios básicos</t>
  </si>
  <si>
    <t>En el año 2015 la EMAPAPC-EP Pagará mensualmente sus obligaciones por consumo de los servicios básicos</t>
  </si>
  <si>
    <t>Falta 
Consumo de Diciembre</t>
  </si>
  <si>
    <t>SERVICIOS BÁSICOS</t>
  </si>
  <si>
    <t>Materiales de Oficina, 
Materiales de  Aseo, 
Mobiliarios,
Equipos, Sistemas y Paquetes Informáticos</t>
  </si>
  <si>
    <t xml:space="preserve"> Suministro, equipos y mobiliarios de oficina</t>
  </si>
  <si>
    <t>Implementar con los materiales necesarios para el funcionamiento de las oficinas de EMAPAPPC-EP  para cumplir con los programas, proyectos y objetivos planteados</t>
  </si>
  <si>
    <t xml:space="preserve">Todos los departamentos de la EMAPAPC-EP tendrán los suministro y equipos necesarios </t>
  </si>
  <si>
    <t>SUMINISTRO DE OFICINAS, EQUIPOS DE COMPUTACION PARA EMAPAPC-EP</t>
  </si>
  <si>
    <t>Objetivo 3: Mejorar la calidad de vida de la población.</t>
  </si>
  <si>
    <t>AGUA POTABLE</t>
  </si>
  <si>
    <t>Mantenimiento Preventivo de vehículos y bomba de succión</t>
  </si>
  <si>
    <t>Brindar un buen servicio a las comunidades</t>
  </si>
  <si>
    <t>se cumplirá en un 100%</t>
  </si>
  <si>
    <t>MANTENIMIENTO PREVENTIVO</t>
  </si>
  <si>
    <t>VEHICULO</t>
  </si>
  <si>
    <t>Adquisición de llantas para vehículos</t>
  </si>
  <si>
    <t>Tener en bodega de EMAPAPC-EP este material para prevenir emergencias suscitadas</t>
  </si>
  <si>
    <t>Se comprarán  llantas para contingencias</t>
  </si>
  <si>
    <t>6 Meses</t>
  </si>
  <si>
    <t>SUMINISTRO DE LLANTAS</t>
  </si>
  <si>
    <t>COMBUSTIBLES Y LUBRICANTES</t>
  </si>
  <si>
    <t xml:space="preserve">Adquisición de combustible y lubricantes para vehículos , bomba de succión y genera  dores eléctricos </t>
  </si>
  <si>
    <t>Tener la disponibilidad económica para solventar la demanda</t>
  </si>
  <si>
    <t>Se cumplirá en un 100%</t>
  </si>
  <si>
    <t xml:space="preserve">                                                                                                       </t>
  </si>
  <si>
    <t>SUMINISTRO DE COMBUSTIBLE Y LUBRICANTES</t>
  </si>
  <si>
    <t>MAQUINARIAS Y EQUIPOS</t>
  </si>
  <si>
    <t>CAMARAS DE SEGURIDAD</t>
  </si>
  <si>
    <t>Brindar apoyo a los guardias de seguridad de la Empresa y minimizar el riesgo de pérdidas de activos pertenecientes a la Institución</t>
  </si>
  <si>
    <t xml:space="preserve"> </t>
  </si>
  <si>
    <t xml:space="preserve">           </t>
  </si>
  <si>
    <t xml:space="preserve">                          </t>
  </si>
  <si>
    <t>SISTEMA CCTV</t>
  </si>
  <si>
    <t>CAMARAS FOTOGRAFICAS</t>
  </si>
  <si>
    <t>,</t>
  </si>
  <si>
    <t>PROYECTO DE MICROMEDICIÓN</t>
  </si>
  <si>
    <t xml:space="preserve">EQUIPO DE AIRE ACONDICIONADO </t>
  </si>
  <si>
    <t>Mejorar las Condiciones y Ambiente Laboral</t>
  </si>
  <si>
    <t>AMBIENTE LABORAL</t>
  </si>
  <si>
    <t>Alquiler de Tanquero para abastecimiento de agua consumo humano en diferentes comunidades e instituciones</t>
  </si>
  <si>
    <t>Proveer del líquido vital a las instituciones donde no cuentan con este servicio (zona urbana y rural)</t>
  </si>
  <si>
    <t>30 comunidades e instituciones serán beneficiadas con el abastecimiento de agua con tanqueros particulares</t>
  </si>
  <si>
    <t xml:space="preserve"> 1 Año</t>
  </si>
  <si>
    <t>DISTRIBUCIÓN DE AGUA  A LAS COMUNIDADES</t>
  </si>
  <si>
    <t>ADQUISICION  DE EQUIPO DE CLORACIÓN Y MANTENIMIENTO PARROQUIA VALLE DE LA VIRGEN</t>
  </si>
  <si>
    <t>CLORIFICACIÓN DE AGUA 
COMUNIDAD VALLE DE LA VIRGEN.</t>
  </si>
  <si>
    <t>ADQUISICIÓN DE 5 CILINDROS DE CLORO GAS DE 68 kg</t>
  </si>
  <si>
    <t>QUIMICOS PARA POTABILIZACION DEL AGUA CABECERA CANTONAL</t>
  </si>
  <si>
    <t>Adquisición de reactivos,equipos y accesorios para laboratorio de análisis de agua</t>
  </si>
  <si>
    <t>Verificar la calidad del agua de diferentes pozos de la zona Urbana y Rural</t>
  </si>
  <si>
    <t>89 pozos  de la zona urbana y rural se tomarán muestras</t>
  </si>
  <si>
    <t>ANALISIS DE AGUA PARA LA COMUNIDAD</t>
  </si>
  <si>
    <t>Limpieza de Albarrada en Valle de la Virgen</t>
  </si>
  <si>
    <t xml:space="preserve">Dotar de agua segura para la población </t>
  </si>
  <si>
    <t>Se lo realizará por primera vez en tres fases</t>
  </si>
  <si>
    <t>MANTENIMIENTO Y LIMPIEZA DE ALBARRADAS</t>
  </si>
  <si>
    <t xml:space="preserve">Adquisición de medidores,tuberías ,herramientas,Materiales de construcción y accesorios electricos para mejoramientos de sistema de agua  , Alcantarillado Sanitario y Pluvial en la zona rural y Urbana </t>
  </si>
  <si>
    <t>Mejorar la infraestructura de los sistemas: AA.PP ; AA.SS  y  AA.LL</t>
  </si>
  <si>
    <t>Se cambiarán tuberias de  AA.PP; AA.SS ;  AA.LL; mas accesorios</t>
  </si>
  <si>
    <t>MEJORAMIENTO DE REDES DE AGUAS</t>
  </si>
  <si>
    <t>Adquisición de bombas sumergibles</t>
  </si>
  <si>
    <t xml:space="preserve">Se cambiarán tuberias de  AA.PP; AA.SS </t>
  </si>
  <si>
    <t xml:space="preserve"> Objetivo 4: Garantizar los derechos de la naturaleza y promover un medio ambiente sano y sustentable.</t>
  </si>
  <si>
    <t>VESTUARIO, LENCERIA Y 
PRENDAS DE PROTECCION</t>
  </si>
  <si>
    <t xml:space="preserve">Adquisición de Equipos  y materiales de protección  de limpieza y desinfección para el personal de mantenimiento de agua y alcantarillado sanitario </t>
  </si>
  <si>
    <t>Proteger la Salud y Bienestar del Obrero</t>
  </si>
  <si>
    <t>El 100% del personal de mantenimiento estará protegido .</t>
  </si>
  <si>
    <t>CUMPLIR NORMAS DE BIOSEGURIDAD</t>
  </si>
  <si>
    <t>Objetivo 3: Mejorar la calidad de vida de la población.                  Objetivo 4: Garantizar los derechos de la naturaleza y promover un medio ambiente sano y sustentable.</t>
  </si>
  <si>
    <t>ALCANTARILLADO</t>
  </si>
  <si>
    <t>Limpieza (Evacuación de AA.SS de los pozos sépticos de diferentes Instituciones)</t>
  </si>
  <si>
    <t>Salvaguardar la salud de las personas beneficiadas</t>
  </si>
  <si>
    <t>El 100% de las instituciones tendrán limpios sus pozos sépticos</t>
  </si>
  <si>
    <t>EVACUACIÓN DE AA.SS.</t>
  </si>
  <si>
    <t>Mantenimiento preventivo de las estaciones de bombeo AA.SS de la Cabecera Cantonal</t>
  </si>
  <si>
    <t>Prevenir daños para brindar un buen servicio a la ciudadanía carbense</t>
  </si>
  <si>
    <t>Se realizará cada cuatro meses el mantenimiento y El 60% de la población urbana tendrá el sistema activo</t>
  </si>
  <si>
    <t>REPARACIÓN DE TUBERIA DE  AGUAS SERVIDAS (AA.SS 8) EN EL SECTOR SANTA ROSA CALLE ESMERALDAS ENTRE BOLIVIA  Y ARGENTINA- CABECERA CANTONAL DE PEDRO CARBO Y  EN LAS CALLES  LOS RIOS Y QUITO - CABECERA CANTONAL DE PEDRO CARBO”</t>
  </si>
  <si>
    <t>Mejorar el  servicio a la ciudadanía carbense y solución inmediata a los problemas</t>
  </si>
  <si>
    <t>“REPARACIÓN DE TUBERIA DE  AGUAS SERVIDAS (AA.SS 6) EN  LAS CALLES CHIMBORAZO E/ GUAYAQUIL Y EMILIANO CAICEDO,  REPARACION DE TUBERIAS PARA AA.PP  EN LAS CALLES AYACUCHO Y SUCRE DEL CANTÓN PEDRO CARBO, REPARACIÓN DE TUBERIA DE  AGUAS SERVIDAS (AA.SS 6) CON SU RESPECTIVA CAJA DOMICILIARIA EN LA CALLE 24 DE DICIEMBRE  Y JORGE YUNEZ DE LA PARROQUIA SABANILLA, REPARACIÓN  DE TUBERIA DE  AGUAS SERVIDAS (AA.SS) EN LAS CALLES QUITO Y EL ORO CABECERA CANTONAL DE PEDRO CARBO, REPARACIÓN DE TUBERIA DE  AGUAS SERVIDAS (AA.SS 8) EN  LAS CALLES  PICHINCHA  Y LA 4TA. CABECERA CANTONAL DE PEDRO CARBO</t>
  </si>
  <si>
    <t>Mejorar el  servicio a la ciudadanía carbense y solución inmediata a los problemas.</t>
  </si>
  <si>
    <t xml:space="preserve">Mantenimiento preventivo de las estaciones de bombeo AA.PP  de la Cabecera Cantonal </t>
  </si>
  <si>
    <t>Prevenir daños para  mantener activo el sistema de agua</t>
  </si>
  <si>
    <t>Se realizará cada seis meses el mantenimiento y El 90% de la población urbana tendrá el sistema activo</t>
  </si>
  <si>
    <t>Cerramiento perimetral en Albarrada de Valle de la Virgen</t>
  </si>
  <si>
    <t>CERRAMIENTO DE ALBARRADA</t>
  </si>
  <si>
    <t>Mantenimiento Preventivo de las estaciones de bombeo AA.PP  de las parroquias y recintos</t>
  </si>
  <si>
    <t xml:space="preserve">Cuidar del buen funcionamiento del sistema de agua de los pozos de la zona rural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</si>
</sst>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36"/>
      <name val="Optima"/>
      <family val="2"/>
    </font>
    <font>
      <b/>
      <sz val="26"/>
      <name val="Optima"/>
      <family val="2"/>
    </font>
    <font>
      <b/>
      <sz val="11"/>
      <name val="Arial"/>
      <family val="2"/>
    </font>
    <font>
      <b/>
      <sz val="11"/>
      <name val="Optima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85">
    <xf numFmtId="0" fontId="0" fillId="0" borderId="0" xfId="0"/>
    <xf numFmtId="0" fontId="0" fillId="0" borderId="0" xfId="0" applyFont="1"/>
    <xf numFmtId="0" fontId="0" fillId="2" borderId="4" xfId="0" applyFont="1" applyFill="1" applyBorder="1"/>
    <xf numFmtId="0" fontId="0" fillId="2" borderId="0" xfId="0" applyFont="1" applyFill="1" applyBorder="1"/>
    <xf numFmtId="0" fontId="10" fillId="2" borderId="0" xfId="3" applyFont="1" applyFill="1" applyBorder="1" applyAlignment="1"/>
    <xf numFmtId="0" fontId="10" fillId="2" borderId="5" xfId="3" applyFont="1" applyFill="1" applyBorder="1" applyAlignment="1"/>
    <xf numFmtId="0" fontId="9" fillId="2" borderId="4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left"/>
    </xf>
    <xf numFmtId="0" fontId="9" fillId="2" borderId="0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left"/>
    </xf>
    <xf numFmtId="0" fontId="9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center"/>
    </xf>
    <xf numFmtId="0" fontId="0" fillId="2" borderId="7" xfId="0" applyFont="1" applyFill="1" applyBorder="1"/>
    <xf numFmtId="0" fontId="9" fillId="2" borderId="7" xfId="3" applyFont="1" applyFill="1" applyBorder="1" applyAlignment="1">
      <alignment horizontal="left"/>
    </xf>
    <xf numFmtId="43" fontId="9" fillId="2" borderId="7" xfId="3" applyNumberFormat="1" applyFont="1" applyFill="1" applyBorder="1" applyAlignment="1">
      <alignment horizontal="center"/>
    </xf>
    <xf numFmtId="0" fontId="9" fillId="2" borderId="8" xfId="3" applyFont="1" applyFill="1" applyBorder="1" applyAlignment="1">
      <alignment horizontal="center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4" fillId="7" borderId="18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0" fontId="14" fillId="5" borderId="7" xfId="3" applyFont="1" applyFill="1" applyBorder="1" applyAlignment="1">
      <alignment horizontal="center" vertical="center" wrapText="1"/>
    </xf>
    <xf numFmtId="0" fontId="14" fillId="3" borderId="20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43" fontId="4" fillId="0" borderId="22" xfId="1" applyFont="1" applyFill="1" applyBorder="1" applyAlignment="1">
      <alignment horizontal="right" vertical="center"/>
    </xf>
    <xf numFmtId="43" fontId="4" fillId="9" borderId="22" xfId="1" applyFont="1" applyFill="1" applyBorder="1" applyAlignment="1">
      <alignment horizontal="right" vertical="center"/>
    </xf>
    <xf numFmtId="43" fontId="16" fillId="0" borderId="12" xfId="1" applyFont="1" applyFill="1" applyBorder="1" applyAlignment="1">
      <alignment horizontal="right" vertical="center"/>
    </xf>
    <xf numFmtId="43" fontId="1" fillId="0" borderId="22" xfId="1" applyFont="1" applyFill="1" applyBorder="1" applyAlignment="1">
      <alignment horizontal="right" vertical="center"/>
    </xf>
    <xf numFmtId="43" fontId="17" fillId="10" borderId="12" xfId="1" applyFont="1" applyFill="1" applyBorder="1" applyAlignment="1">
      <alignment horizontal="right" vertical="center"/>
    </xf>
    <xf numFmtId="43" fontId="5" fillId="11" borderId="22" xfId="1" applyFont="1" applyFill="1" applyBorder="1" applyAlignment="1">
      <alignment horizontal="right" vertical="center"/>
    </xf>
    <xf numFmtId="9" fontId="18" fillId="11" borderId="22" xfId="2" applyFont="1" applyFill="1" applyBorder="1" applyAlignment="1">
      <alignment horizontal="center" vertical="center"/>
    </xf>
    <xf numFmtId="0" fontId="19" fillId="0" borderId="22" xfId="2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>
      <alignment horizontal="right" vertical="center"/>
    </xf>
    <xf numFmtId="0" fontId="16" fillId="0" borderId="2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3" fontId="1" fillId="3" borderId="22" xfId="1" applyFont="1" applyFill="1" applyBorder="1" applyAlignment="1">
      <alignment horizontal="right" vertical="center"/>
    </xf>
    <xf numFmtId="43" fontId="17" fillId="0" borderId="12" xfId="1" applyFont="1" applyFill="1" applyBorder="1" applyAlignment="1">
      <alignment horizontal="right" vertical="center"/>
    </xf>
    <xf numFmtId="43" fontId="2" fillId="11" borderId="22" xfId="1" applyFont="1" applyFill="1" applyBorder="1" applyAlignment="1">
      <alignment horizontal="right" vertical="center"/>
    </xf>
    <xf numFmtId="43" fontId="3" fillId="0" borderId="12" xfId="1" applyFont="1" applyFill="1" applyBorder="1" applyAlignment="1">
      <alignment horizontal="right" vertical="center"/>
    </xf>
    <xf numFmtId="43" fontId="0" fillId="0" borderId="0" xfId="0" applyNumberFormat="1" applyFont="1"/>
    <xf numFmtId="43" fontId="17" fillId="0" borderId="22" xfId="1" applyFont="1" applyFill="1" applyBorder="1" applyAlignment="1">
      <alignment horizontal="right" vertical="center"/>
    </xf>
    <xf numFmtId="9" fontId="19" fillId="12" borderId="22" xfId="2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3" fontId="17" fillId="13" borderId="12" xfId="1" applyFont="1" applyFill="1" applyBorder="1" applyAlignment="1">
      <alignment horizontal="right" vertical="center"/>
    </xf>
    <xf numFmtId="9" fontId="19" fillId="0" borderId="22" xfId="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43" fontId="17" fillId="9" borderId="22" xfId="1" applyFont="1" applyFill="1" applyBorder="1" applyAlignment="1">
      <alignment horizontal="right" vertical="center"/>
    </xf>
    <xf numFmtId="9" fontId="18" fillId="14" borderId="22" xfId="2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43" fontId="20" fillId="0" borderId="12" xfId="1" applyFont="1" applyFill="1" applyBorder="1" applyAlignment="1">
      <alignment horizontal="right" vertical="center"/>
    </xf>
    <xf numFmtId="43" fontId="1" fillId="0" borderId="22" xfId="1" applyNumberFormat="1" applyFont="1" applyFill="1" applyBorder="1" applyAlignment="1">
      <alignment horizontal="right" vertical="center"/>
    </xf>
    <xf numFmtId="9" fontId="19" fillId="15" borderId="22" xfId="2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43" fontId="17" fillId="3" borderId="12" xfId="1" applyFont="1" applyFill="1" applyBorder="1" applyAlignment="1">
      <alignment horizontal="right" vertical="center"/>
    </xf>
    <xf numFmtId="0" fontId="17" fillId="0" borderId="12" xfId="0" applyFont="1" applyBorder="1"/>
    <xf numFmtId="0" fontId="17" fillId="0" borderId="23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/>
    </xf>
    <xf numFmtId="0" fontId="0" fillId="0" borderId="12" xfId="0" applyFont="1" applyBorder="1"/>
    <xf numFmtId="43" fontId="1" fillId="0" borderId="26" xfId="1" applyFont="1" applyFill="1" applyBorder="1" applyAlignment="1">
      <alignment horizontal="right" vertical="center"/>
    </xf>
    <xf numFmtId="43" fontId="4" fillId="9" borderId="26" xfId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43" fontId="15" fillId="9" borderId="28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/>
    </xf>
    <xf numFmtId="9" fontId="17" fillId="0" borderId="12" xfId="0" applyNumberFormat="1" applyFont="1" applyBorder="1" applyAlignment="1">
      <alignment horizontal="center" vertical="center"/>
    </xf>
    <xf numFmtId="43" fontId="17" fillId="9" borderId="28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Protection="1"/>
    <xf numFmtId="0" fontId="22" fillId="0" borderId="12" xfId="0" applyFont="1" applyFill="1" applyBorder="1" applyProtection="1"/>
    <xf numFmtId="43" fontId="1" fillId="0" borderId="12" xfId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43" fontId="3" fillId="0" borderId="12" xfId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3" fontId="17" fillId="0" borderId="12" xfId="1" applyFont="1" applyFill="1" applyBorder="1" applyAlignment="1">
      <alignment horizontal="center" vertical="center"/>
    </xf>
    <xf numFmtId="43" fontId="17" fillId="13" borderId="0" xfId="1" applyFont="1" applyFill="1"/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15" fillId="0" borderId="34" xfId="0" applyFont="1" applyFill="1" applyBorder="1" applyAlignment="1">
      <alignment horizontal="left" vertical="center" wrapText="1"/>
    </xf>
    <xf numFmtId="0" fontId="9" fillId="0" borderId="12" xfId="3" applyFont="1" applyBorder="1" applyAlignment="1"/>
    <xf numFmtId="0" fontId="9" fillId="0" borderId="28" xfId="3" applyFont="1" applyBorder="1" applyAlignment="1"/>
    <xf numFmtId="0" fontId="23" fillId="0" borderId="28" xfId="3" applyFont="1" applyBorder="1"/>
    <xf numFmtId="0" fontId="23" fillId="0" borderId="12" xfId="3" applyFont="1" applyBorder="1"/>
    <xf numFmtId="0" fontId="23" fillId="0" borderId="29" xfId="3" applyFont="1" applyBorder="1"/>
    <xf numFmtId="43" fontId="23" fillId="0" borderId="12" xfId="3" applyNumberFormat="1" applyFont="1" applyBorder="1"/>
    <xf numFmtId="43" fontId="9" fillId="0" borderId="12" xfId="3" applyNumberFormat="1" applyFont="1" applyBorder="1"/>
    <xf numFmtId="0" fontId="23" fillId="0" borderId="18" xfId="3" applyFont="1" applyBorder="1"/>
    <xf numFmtId="0" fontId="15" fillId="0" borderId="12" xfId="0" applyFont="1" applyFill="1" applyBorder="1" applyAlignment="1">
      <alignment horizontal="center" vertical="center" wrapText="1"/>
    </xf>
    <xf numFmtId="0" fontId="9" fillId="0" borderId="28" xfId="3" applyFont="1" applyBorder="1" applyAlignment="1">
      <alignment horizontal="center"/>
    </xf>
    <xf numFmtId="0" fontId="9" fillId="0" borderId="29" xfId="3" applyFont="1" applyBorder="1" applyAlignment="1">
      <alignment horizont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4" fillId="3" borderId="10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14" fillId="5" borderId="11" xfId="3" applyFont="1" applyFill="1" applyBorder="1" applyAlignment="1">
      <alignment horizontal="center" vertical="center" wrapText="1"/>
    </xf>
    <xf numFmtId="0" fontId="14" fillId="5" borderId="20" xfId="3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center" vertical="center" wrapText="1"/>
    </xf>
    <xf numFmtId="0" fontId="14" fillId="3" borderId="21" xfId="3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5" borderId="13" xfId="3" applyFont="1" applyFill="1" applyBorder="1" applyAlignment="1">
      <alignment horizontal="center" vertical="center" wrapText="1"/>
    </xf>
    <xf numFmtId="0" fontId="14" fillId="5" borderId="21" xfId="3" applyFont="1" applyFill="1" applyBorder="1" applyAlignment="1">
      <alignment horizontal="center" vertical="center" wrapText="1"/>
    </xf>
    <xf numFmtId="0" fontId="14" fillId="4" borderId="14" xfId="3" applyFont="1" applyFill="1" applyBorder="1" applyAlignment="1">
      <alignment horizontal="center" vertical="center"/>
    </xf>
    <xf numFmtId="0" fontId="14" fillId="4" borderId="15" xfId="3" applyFont="1" applyFill="1" applyBorder="1" applyAlignment="1">
      <alignment horizontal="center" vertical="center"/>
    </xf>
    <xf numFmtId="0" fontId="14" fillId="3" borderId="11" xfId="3" applyFont="1" applyFill="1" applyBorder="1" applyAlignment="1">
      <alignment horizontal="center" vertical="center" wrapText="1"/>
    </xf>
    <xf numFmtId="0" fontId="14" fillId="3" borderId="2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14" fillId="3" borderId="9" xfId="3" applyFont="1" applyFill="1" applyBorder="1" applyAlignment="1">
      <alignment horizontal="center" vertical="center" wrapText="1"/>
    </xf>
    <xf numFmtId="0" fontId="14" fillId="3" borderId="17" xfId="3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4" fillId="4" borderId="10" xfId="3" applyFont="1" applyFill="1" applyBorder="1" applyAlignment="1">
      <alignment horizontal="center" vertical="center" wrapText="1"/>
    </xf>
    <xf numFmtId="0" fontId="14" fillId="4" borderId="19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6" xfId="0" applyFont="1" applyBorder="1"/>
    <xf numFmtId="0" fontId="0" fillId="0" borderId="8" xfId="0" applyFont="1" applyBorder="1"/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133350</xdr:rowOff>
    </xdr:from>
    <xdr:to>
      <xdr:col>1</xdr:col>
      <xdr:colOff>809625</xdr:colOff>
      <xdr:row>3</xdr:row>
      <xdr:rowOff>412750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39725"/>
          <a:ext cx="815975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76200</xdr:colOff>
      <xdr:row>2</xdr:row>
      <xdr:rowOff>9525</xdr:rowOff>
    </xdr:from>
    <xdr:to>
      <xdr:col>36</xdr:col>
      <xdr:colOff>565023</xdr:colOff>
      <xdr:row>3</xdr:row>
      <xdr:rowOff>184785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56100" y="400050"/>
          <a:ext cx="23907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vid%20Chang\AppData\Local\Microsoft\Windows\Temporary%20Internet%20Files\Content.Outlook\7COZSOK5\Users\EMAPAPC003\Desktop\REGISTRO%20SPI%20OPI%202015%20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vid%20Chang\AppData\Local\Microsoft\Windows\Temporary%20Internet%20Files\Content.Outlook\7COZSOK5\gaby%20emapapc-2015\REGISTRO%20SPI%20OPI%20sffsdffweff%20agosto%20planilla%20aGDVAS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vid%20Chang\AppData\Local\Microsoft\Windows\Temporary%20Internet%20Files\Content.Outlook\7COZSOK5\spi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vid%20Chang\AppData\Local\Microsoft\Windows\Temporary%20Internet%20Files\Content.Outlook\7COZSOK5\gaby%20emapapc-2015\pacc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 2015"/>
      <sheetName val="dsto 2014"/>
      <sheetName val="dscto 2015"/>
      <sheetName val="JUZGADO"/>
      <sheetName val="electrofacil"/>
      <sheetName val="PQ"/>
      <sheetName val="DECIMOS"/>
    </sheetNames>
    <sheetDataSet>
      <sheetData sheetId="0" refreshError="1">
        <row r="334">
          <cell r="G334">
            <v>6003.01</v>
          </cell>
        </row>
        <row r="433">
          <cell r="G433">
            <v>15347.83</v>
          </cell>
        </row>
        <row r="531">
          <cell r="G531">
            <v>4615.99</v>
          </cell>
        </row>
        <row r="539">
          <cell r="G539">
            <v>2897.9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 2015"/>
      <sheetName val="dsto 2014"/>
      <sheetName val="dscto 2015"/>
      <sheetName val="JUZGADO"/>
      <sheetName val="electrofacil"/>
      <sheetName val="PQ"/>
      <sheetName val="DECIMOS"/>
    </sheetNames>
    <sheetDataSet>
      <sheetData sheetId="0" refreshError="1">
        <row r="713">
          <cell r="G713">
            <v>6503.98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891">
          <cell r="G891">
            <v>7269.45</v>
          </cell>
        </row>
        <row r="1109">
          <cell r="G1109">
            <v>16576.259999999998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ANUAL DE COMPRAS  REF"/>
      <sheetName val="PLAN ANUAL DE COMPRAS"/>
      <sheetName val="varios rubros"/>
      <sheetName val="Hoja2"/>
      <sheetName val="Hoja1"/>
    </sheetNames>
    <sheetDataSet>
      <sheetData sheetId="0" refreshError="1">
        <row r="33">
          <cell r="AD33">
            <v>3343.02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topLeftCell="A4" zoomScale="60" zoomScaleNormal="60" workbookViewId="0">
      <selection activeCell="D13" sqref="D13"/>
    </sheetView>
  </sheetViews>
  <sheetFormatPr baseColWidth="10" defaultRowHeight="15"/>
  <cols>
    <col min="1" max="1" width="4.42578125" customWidth="1"/>
    <col min="2" max="2" width="32.42578125" customWidth="1"/>
    <col min="4" max="4" width="45.42578125" bestFit="1" customWidth="1"/>
    <col min="5" max="6" width="18" customWidth="1"/>
    <col min="7" max="7" width="47.5703125" customWidth="1"/>
    <col min="8" max="8" width="18" customWidth="1"/>
    <col min="9" max="9" width="15.42578125" customWidth="1"/>
    <col min="10" max="10" width="11.140625" bestFit="1" customWidth="1"/>
    <col min="11" max="11" width="6.5703125" bestFit="1" customWidth="1"/>
    <col min="12" max="12" width="7.140625" bestFit="1" customWidth="1"/>
    <col min="13" max="13" width="7.5703125" bestFit="1" customWidth="1"/>
    <col min="14" max="14" width="18.7109375" bestFit="1" customWidth="1"/>
    <col min="15" max="15" width="16.28515625" customWidth="1"/>
    <col min="16" max="16" width="15.140625" customWidth="1"/>
    <col min="17" max="17" width="31.7109375" bestFit="1" customWidth="1"/>
    <col min="18" max="18" width="14.5703125" customWidth="1"/>
    <col min="19" max="29" width="15.7109375" customWidth="1"/>
    <col min="30" max="30" width="18.140625" customWidth="1"/>
    <col min="31" max="31" width="19.7109375" customWidth="1"/>
    <col min="32" max="33" width="15.42578125" customWidth="1"/>
    <col min="34" max="34" width="10.28515625" bestFit="1" customWidth="1"/>
    <col min="35" max="35" width="14.5703125" bestFit="1" customWidth="1"/>
    <col min="36" max="36" width="14.42578125" bestFit="1" customWidth="1"/>
    <col min="37" max="37" width="46" bestFit="1" customWidth="1"/>
  </cols>
  <sheetData>
    <row r="1" spans="1:37" s="1" customFormat="1" ht="15.75" thickBot="1"/>
    <row r="2" spans="1:37" s="1" customFormat="1">
      <c r="A2" s="163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</row>
    <row r="3" spans="1:37" s="1" customForma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8"/>
    </row>
    <row r="4" spans="1:37" s="1" customFormat="1" ht="33.75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1"/>
    </row>
    <row r="5" spans="1:37" s="1" customForma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4"/>
    </row>
    <row r="6" spans="1:37" s="1" customForma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</row>
    <row r="7" spans="1:37" s="1" customFormat="1">
      <c r="A7" s="2"/>
      <c r="B7" s="3"/>
      <c r="C7" s="3"/>
      <c r="D7" s="3"/>
      <c r="E7" s="4"/>
      <c r="F7" s="4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s="1" customFormat="1" ht="27.75">
      <c r="A8" s="6"/>
      <c r="B8" s="7" t="s">
        <v>2</v>
      </c>
      <c r="C8" s="8"/>
      <c r="D8" s="8"/>
      <c r="E8" s="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/>
    </row>
    <row r="9" spans="1:37" s="1" customFormat="1" ht="27.75">
      <c r="A9" s="6"/>
      <c r="B9" s="7" t="s">
        <v>3</v>
      </c>
      <c r="C9" s="8"/>
      <c r="D9" s="8"/>
      <c r="E9" s="3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9"/>
    </row>
    <row r="10" spans="1:37" s="1" customFormat="1" ht="24" thickBot="1">
      <c r="A10" s="11"/>
      <c r="B10" s="12" t="s">
        <v>4</v>
      </c>
      <c r="C10" s="13"/>
      <c r="D10" s="13"/>
      <c r="E10" s="14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6"/>
      <c r="S10" s="16"/>
      <c r="T10" s="16"/>
      <c r="U10" s="16"/>
      <c r="V10" s="13"/>
      <c r="W10" s="13"/>
      <c r="X10" s="13"/>
      <c r="Y10" s="13"/>
      <c r="Z10" s="13"/>
      <c r="AA10" s="13"/>
      <c r="AB10" s="13"/>
      <c r="AC10" s="13"/>
      <c r="AD10" s="16"/>
      <c r="AE10" s="13"/>
      <c r="AF10" s="13"/>
      <c r="AG10" s="13"/>
      <c r="AH10" s="13"/>
      <c r="AI10" s="13"/>
      <c r="AJ10" s="13"/>
      <c r="AK10" s="17"/>
    </row>
    <row r="11" spans="1:37" s="1" customFormat="1" ht="15.75" thickBot="1">
      <c r="A11" s="175" t="s">
        <v>5</v>
      </c>
      <c r="B11" s="177" t="s">
        <v>6</v>
      </c>
      <c r="C11" s="178"/>
      <c r="D11" s="179" t="s">
        <v>7</v>
      </c>
      <c r="E11" s="181" t="s">
        <v>8</v>
      </c>
      <c r="F11" s="182"/>
      <c r="G11" s="151" t="s">
        <v>9</v>
      </c>
      <c r="H11" s="175" t="s">
        <v>10</v>
      </c>
      <c r="I11" s="157" t="s">
        <v>11</v>
      </c>
      <c r="J11" s="159" t="s">
        <v>12</v>
      </c>
      <c r="K11" s="160"/>
      <c r="L11" s="160"/>
      <c r="M11" s="160"/>
      <c r="N11" s="161" t="s">
        <v>13</v>
      </c>
      <c r="O11" s="149" t="s">
        <v>14</v>
      </c>
      <c r="P11" s="149" t="s">
        <v>15</v>
      </c>
      <c r="Q11" s="149" t="s">
        <v>16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19"/>
      <c r="AH11" s="19" t="s">
        <v>17</v>
      </c>
      <c r="AI11" s="149" t="s">
        <v>18</v>
      </c>
      <c r="AJ11" s="151" t="s">
        <v>19</v>
      </c>
      <c r="AK11" s="153" t="s">
        <v>20</v>
      </c>
    </row>
    <row r="12" spans="1:37" s="1" customFormat="1" ht="72" thickBot="1">
      <c r="A12" s="176"/>
      <c r="B12" s="20" t="s">
        <v>21</v>
      </c>
      <c r="C12" s="21" t="s">
        <v>22</v>
      </c>
      <c r="D12" s="180"/>
      <c r="E12" s="183"/>
      <c r="F12" s="184"/>
      <c r="G12" s="152"/>
      <c r="H12" s="176"/>
      <c r="I12" s="158"/>
      <c r="J12" s="22" t="s">
        <v>23</v>
      </c>
      <c r="K12" s="23" t="s">
        <v>24</v>
      </c>
      <c r="L12" s="22" t="s">
        <v>25</v>
      </c>
      <c r="M12" s="23" t="s">
        <v>26</v>
      </c>
      <c r="N12" s="162"/>
      <c r="O12" s="150"/>
      <c r="P12" s="150"/>
      <c r="Q12" s="150"/>
      <c r="R12" s="24" t="s">
        <v>27</v>
      </c>
      <c r="S12" s="24" t="s">
        <v>28</v>
      </c>
      <c r="T12" s="24" t="s">
        <v>29</v>
      </c>
      <c r="U12" s="24" t="s">
        <v>30</v>
      </c>
      <c r="V12" s="24" t="s">
        <v>31</v>
      </c>
      <c r="W12" s="24" t="s">
        <v>32</v>
      </c>
      <c r="X12" s="24" t="s">
        <v>33</v>
      </c>
      <c r="Y12" s="24" t="s">
        <v>34</v>
      </c>
      <c r="Z12" s="24" t="s">
        <v>35</v>
      </c>
      <c r="AA12" s="24" t="s">
        <v>36</v>
      </c>
      <c r="AB12" s="24" t="s">
        <v>37</v>
      </c>
      <c r="AC12" s="24" t="s">
        <v>38</v>
      </c>
      <c r="AD12" s="24" t="s">
        <v>39</v>
      </c>
      <c r="AE12" s="24" t="s">
        <v>40</v>
      </c>
      <c r="AF12" s="25"/>
      <c r="AG12" s="25"/>
      <c r="AH12" s="25" t="s">
        <v>41</v>
      </c>
      <c r="AI12" s="150"/>
      <c r="AJ12" s="152"/>
      <c r="AK12" s="154"/>
    </row>
    <row r="13" spans="1:37" s="1" customFormat="1" ht="135">
      <c r="A13" s="26">
        <v>1</v>
      </c>
      <c r="B13" s="27" t="s">
        <v>42</v>
      </c>
      <c r="C13" s="28"/>
      <c r="D13" s="29" t="s">
        <v>43</v>
      </c>
      <c r="E13" s="155" t="s">
        <v>44</v>
      </c>
      <c r="F13" s="156"/>
      <c r="G13" s="30" t="s">
        <v>45</v>
      </c>
      <c r="H13" s="31" t="s">
        <v>46</v>
      </c>
      <c r="I13" s="33" t="s">
        <v>47</v>
      </c>
      <c r="J13" s="34">
        <v>0.25</v>
      </c>
      <c r="K13" s="34">
        <v>0.25</v>
      </c>
      <c r="L13" s="34">
        <v>0.25</v>
      </c>
      <c r="M13" s="34">
        <v>0.25</v>
      </c>
      <c r="N13" s="35">
        <v>299692.53999999998</v>
      </c>
      <c r="O13" s="35"/>
      <c r="P13" s="35"/>
      <c r="Q13" s="36">
        <f>+N13</f>
        <v>299692.53999999998</v>
      </c>
      <c r="R13" s="37">
        <f>11245.65+1901.84+3013.95+560+418.26</f>
        <v>17139.699999999997</v>
      </c>
      <c r="S13" s="37">
        <f>632.8+2513.95+500+12392.61+1547.84+560+361.8</f>
        <v>18509</v>
      </c>
      <c r="T13" s="37">
        <f>3691.95+1901.84+12392.61+560+10579.43+418.26</f>
        <v>29544.09</v>
      </c>
      <c r="U13" s="37">
        <f>1901.84+4541.85+12392.61+560+486.99</f>
        <v>19883.290000000005</v>
      </c>
      <c r="V13" s="37">
        <f>1901.84+4541.95+10568.91+560+520.57</f>
        <v>18093.27</v>
      </c>
      <c r="W13" s="37">
        <f>11489.91+2609.84+560+4541.95+3722.7+520.57+192.61</f>
        <v>23637.58</v>
      </c>
      <c r="X13" s="37">
        <f>2963.84+4541.95+560+9755.31+1679.05+618.67</f>
        <v>20118.819999999996</v>
      </c>
      <c r="Y13" s="35">
        <f>3691.95+251.06+336.06+3517.78+293.21+12217.41+848.54+943.48</f>
        <v>22099.49</v>
      </c>
      <c r="Z13" s="35">
        <f>13907.38+329.56+1015.51+3287.68+237.46+3691.95+251.06+336.06</f>
        <v>23056.66</v>
      </c>
      <c r="AA13" s="35">
        <f>3287.68+237.46+14057.31+299.98+1015.51+3691.95+251.06+336.06</f>
        <v>23177.010000000002</v>
      </c>
      <c r="AB13" s="38">
        <f>3691.95+251.06+336.06+3287.68+237.46+14057.31+297.07+1015.51+7315.47</f>
        <v>30489.57</v>
      </c>
      <c r="AC13" s="39">
        <f>3691.95+251.06+336.06+3287.68+237.46+14057.31+297.07+1015.51+1719.88+1316.44+1641.26+1060.59+17301.89</f>
        <v>46214.159999999996</v>
      </c>
      <c r="AD13" s="40">
        <f>+SUM(R13:AC13)</f>
        <v>291962.64</v>
      </c>
      <c r="AE13" s="38">
        <f>+N13-AD13</f>
        <v>7729.8999999999651</v>
      </c>
      <c r="AF13" s="38">
        <f>+AD13+AE13</f>
        <v>299692.53999999998</v>
      </c>
      <c r="AG13" s="38">
        <v>299692.53999999998</v>
      </c>
      <c r="AH13" s="41">
        <f t="shared" ref="AH13:AH40" si="0">+AD13/Q13</f>
        <v>0.97420723251903441</v>
      </c>
      <c r="AI13" s="42" t="s">
        <v>48</v>
      </c>
      <c r="AJ13" s="43" t="s">
        <v>49</v>
      </c>
      <c r="AK13" s="44" t="s">
        <v>50</v>
      </c>
    </row>
    <row r="14" spans="1:37" s="1" customFormat="1" ht="75">
      <c r="A14" s="45">
        <v>2</v>
      </c>
      <c r="B14" s="46" t="s">
        <v>51</v>
      </c>
      <c r="C14" s="47"/>
      <c r="D14" s="47" t="s">
        <v>52</v>
      </c>
      <c r="E14" s="125" t="s">
        <v>53</v>
      </c>
      <c r="F14" s="125"/>
      <c r="G14" s="32" t="s">
        <v>54</v>
      </c>
      <c r="H14" s="48" t="s">
        <v>55</v>
      </c>
      <c r="I14" s="49" t="s">
        <v>47</v>
      </c>
      <c r="J14" s="50">
        <v>0.25</v>
      </c>
      <c r="K14" s="50">
        <v>0.25</v>
      </c>
      <c r="L14" s="50">
        <v>0.25</v>
      </c>
      <c r="M14" s="50">
        <v>0.25</v>
      </c>
      <c r="N14" s="51">
        <v>3100</v>
      </c>
      <c r="O14" s="51"/>
      <c r="P14" s="35"/>
      <c r="Q14" s="36">
        <f>+N14</f>
        <v>3100</v>
      </c>
      <c r="R14" s="52">
        <v>250</v>
      </c>
      <c r="S14" s="52">
        <v>250</v>
      </c>
      <c r="T14" s="52">
        <v>250</v>
      </c>
      <c r="U14" s="52">
        <v>250</v>
      </c>
      <c r="V14" s="52">
        <v>250</v>
      </c>
      <c r="W14" s="52">
        <v>250</v>
      </c>
      <c r="X14" s="52">
        <v>250</v>
      </c>
      <c r="Y14" s="52">
        <v>250</v>
      </c>
      <c r="Z14" s="52">
        <v>250</v>
      </c>
      <c r="AA14" s="39">
        <v>250</v>
      </c>
      <c r="AB14" s="39">
        <v>250</v>
      </c>
      <c r="AC14" s="39">
        <v>250</v>
      </c>
      <c r="AD14" s="40">
        <f t="shared" ref="AD14:AD39" si="1">+SUM(R14:AC14)</f>
        <v>3000</v>
      </c>
      <c r="AE14" s="38">
        <f>+N14-AD14</f>
        <v>100</v>
      </c>
      <c r="AF14" s="38">
        <f t="shared" ref="AF14:AF40" si="2">+AD14+AE14</f>
        <v>3100</v>
      </c>
      <c r="AG14" s="38">
        <v>3100</v>
      </c>
      <c r="AH14" s="41">
        <f t="shared" si="0"/>
        <v>0.967741935483871</v>
      </c>
      <c r="AI14" s="52"/>
      <c r="AJ14" s="53" t="s">
        <v>49</v>
      </c>
      <c r="AK14" s="54" t="s">
        <v>56</v>
      </c>
    </row>
    <row r="15" spans="1:37" s="1" customFormat="1" ht="150">
      <c r="A15" s="45">
        <v>3</v>
      </c>
      <c r="B15" s="46" t="s">
        <v>57</v>
      </c>
      <c r="C15" s="47"/>
      <c r="D15" s="47" t="s">
        <v>58</v>
      </c>
      <c r="E15" s="125" t="s">
        <v>59</v>
      </c>
      <c r="F15" s="125"/>
      <c r="G15" s="32" t="s">
        <v>60</v>
      </c>
      <c r="H15" s="48" t="s">
        <v>61</v>
      </c>
      <c r="I15" s="49" t="s">
        <v>47</v>
      </c>
      <c r="J15" s="50">
        <v>0.25</v>
      </c>
      <c r="K15" s="50">
        <v>0.25</v>
      </c>
      <c r="L15" s="50">
        <v>0.25</v>
      </c>
      <c r="M15" s="50">
        <v>0.25</v>
      </c>
      <c r="N15" s="52">
        <v>3400</v>
      </c>
      <c r="O15" s="52"/>
      <c r="P15" s="55">
        <v>1028.48</v>
      </c>
      <c r="Q15" s="36">
        <f>+N15+O15+P15</f>
        <v>4428.4799999999996</v>
      </c>
      <c r="R15" s="52"/>
      <c r="S15" s="52"/>
      <c r="T15" s="52"/>
      <c r="U15" s="52"/>
      <c r="V15" s="52"/>
      <c r="W15" s="51">
        <v>822.08</v>
      </c>
      <c r="X15" s="51">
        <v>470.4</v>
      </c>
      <c r="Y15" s="51">
        <f>(1400*1.12)</f>
        <v>1568.0000000000002</v>
      </c>
      <c r="Z15" s="52"/>
      <c r="AA15" s="56"/>
      <c r="AC15" s="51">
        <v>1568</v>
      </c>
      <c r="AD15" s="57">
        <f>+SUM(R15:AC15)</f>
        <v>4428.4800000000005</v>
      </c>
      <c r="AE15" s="38">
        <f>+Q15-AD15</f>
        <v>0</v>
      </c>
      <c r="AF15" s="38">
        <f t="shared" si="2"/>
        <v>4428.4800000000005</v>
      </c>
      <c r="AG15" s="38">
        <v>4428.4799999999996</v>
      </c>
      <c r="AH15" s="41">
        <f t="shared" si="0"/>
        <v>1.0000000000000002</v>
      </c>
      <c r="AI15" s="52"/>
      <c r="AJ15" s="53" t="s">
        <v>49</v>
      </c>
      <c r="AK15" s="54" t="s">
        <v>62</v>
      </c>
    </row>
    <row r="16" spans="1:37" s="1" customFormat="1" ht="45">
      <c r="A16" s="45">
        <v>4</v>
      </c>
      <c r="B16" s="46" t="s">
        <v>63</v>
      </c>
      <c r="C16" s="47"/>
      <c r="D16" s="47" t="s">
        <v>64</v>
      </c>
      <c r="E16" s="125" t="s">
        <v>65</v>
      </c>
      <c r="F16" s="125"/>
      <c r="G16" s="32" t="s">
        <v>66</v>
      </c>
      <c r="H16" s="48" t="s">
        <v>67</v>
      </c>
      <c r="I16" s="49" t="s">
        <v>47</v>
      </c>
      <c r="J16" s="50">
        <v>0.25</v>
      </c>
      <c r="K16" s="50">
        <v>0.25</v>
      </c>
      <c r="L16" s="50">
        <v>0.25</v>
      </c>
      <c r="M16" s="50">
        <v>0.25</v>
      </c>
      <c r="N16" s="52">
        <v>2000.04</v>
      </c>
      <c r="O16" s="52">
        <f>1500-O15</f>
        <v>1500</v>
      </c>
      <c r="P16" s="55">
        <v>-679.12</v>
      </c>
      <c r="Q16" s="36">
        <f>+N16+O16+P16</f>
        <v>2820.92</v>
      </c>
      <c r="R16" s="52" t="s">
        <v>68</v>
      </c>
      <c r="S16" s="37">
        <f>200+200</f>
        <v>400</v>
      </c>
      <c r="T16" s="58"/>
      <c r="U16" s="37">
        <f>130+80+80+260+667.52</f>
        <v>1217.52</v>
      </c>
      <c r="V16" s="37">
        <v>532</v>
      </c>
      <c r="W16" s="37">
        <v>179.2</v>
      </c>
      <c r="X16" s="51"/>
      <c r="Y16" s="52"/>
      <c r="Z16" s="52"/>
      <c r="AA16" s="59"/>
      <c r="AB16" s="51">
        <v>260</v>
      </c>
      <c r="AC16" s="39">
        <f>152.2+80</f>
        <v>232.2</v>
      </c>
      <c r="AD16" s="40">
        <f>+SUM(R16:AC16)</f>
        <v>2820.9199999999996</v>
      </c>
      <c r="AE16" s="38">
        <f>+Q16-AD16</f>
        <v>0</v>
      </c>
      <c r="AF16" s="38">
        <f t="shared" si="2"/>
        <v>2820.9199999999996</v>
      </c>
      <c r="AG16" s="38">
        <v>2820.92</v>
      </c>
      <c r="AH16" s="41">
        <f t="shared" si="0"/>
        <v>0.99999999999999989</v>
      </c>
      <c r="AI16" s="52"/>
      <c r="AJ16" s="53" t="s">
        <v>49</v>
      </c>
      <c r="AK16" s="54" t="s">
        <v>69</v>
      </c>
    </row>
    <row r="17" spans="1:38" s="1" customFormat="1" ht="105">
      <c r="A17" s="45">
        <v>5</v>
      </c>
      <c r="B17" s="46" t="s">
        <v>70</v>
      </c>
      <c r="C17" s="47"/>
      <c r="D17" s="47" t="s">
        <v>71</v>
      </c>
      <c r="E17" s="125" t="s">
        <v>72</v>
      </c>
      <c r="F17" s="125"/>
      <c r="G17" s="32" t="s">
        <v>73</v>
      </c>
      <c r="H17" s="48" t="s">
        <v>74</v>
      </c>
      <c r="I17" s="49" t="s">
        <v>47</v>
      </c>
      <c r="J17" s="50">
        <v>0.25</v>
      </c>
      <c r="K17" s="50">
        <v>0.25</v>
      </c>
      <c r="L17" s="50">
        <v>0.25</v>
      </c>
      <c r="M17" s="50">
        <v>0.25</v>
      </c>
      <c r="N17" s="52">
        <v>140000</v>
      </c>
      <c r="O17" s="56">
        <v>25000</v>
      </c>
      <c r="P17" s="60"/>
      <c r="Q17" s="36">
        <f>+N17-O17</f>
        <v>115000</v>
      </c>
      <c r="R17" s="52"/>
      <c r="S17" s="51"/>
      <c r="T17" s="52"/>
      <c r="U17" s="51">
        <f>+'[1]spi 2015'!$G$334</f>
        <v>6003.01</v>
      </c>
      <c r="V17" s="51">
        <f>+'[1]spi 2015'!$G$433+'[1]spi 2015'!$G$531</f>
        <v>19963.82</v>
      </c>
      <c r="W17" s="51">
        <f>+'[1]spi 2015'!$G$539</f>
        <v>2897.9</v>
      </c>
      <c r="X17" s="51">
        <f>+'[2]spi 2015'!$G$713</f>
        <v>6503.98</v>
      </c>
      <c r="Y17" s="51">
        <f>+[3]Hoja1!$G$891</f>
        <v>7269.45</v>
      </c>
      <c r="Z17" s="51">
        <f>+[3]Hoja1!$G$1109</f>
        <v>16576.259999999998</v>
      </c>
      <c r="AA17" s="51">
        <f>1846.45+Y17</f>
        <v>9115.9</v>
      </c>
      <c r="AB17" s="39">
        <v>8928.86</v>
      </c>
      <c r="AC17" s="39">
        <v>8547.6299999999992</v>
      </c>
      <c r="AD17" s="38">
        <f>+SUM(R17:AC17)</f>
        <v>85806.81</v>
      </c>
      <c r="AE17" s="38">
        <f>+Q17-AD17</f>
        <v>29193.190000000002</v>
      </c>
      <c r="AF17" s="38">
        <f t="shared" si="2"/>
        <v>115000</v>
      </c>
      <c r="AG17" s="38">
        <v>115000</v>
      </c>
      <c r="AH17" s="61">
        <f t="shared" si="0"/>
        <v>0.7461461739130435</v>
      </c>
      <c r="AI17" s="42" t="s">
        <v>75</v>
      </c>
      <c r="AJ17" s="53" t="s">
        <v>49</v>
      </c>
      <c r="AK17" s="54" t="s">
        <v>76</v>
      </c>
    </row>
    <row r="18" spans="1:38" s="1" customFormat="1" ht="105">
      <c r="A18" s="45">
        <v>6</v>
      </c>
      <c r="B18" s="46" t="s">
        <v>42</v>
      </c>
      <c r="C18" s="47"/>
      <c r="D18" s="62" t="s">
        <v>77</v>
      </c>
      <c r="E18" s="125" t="s">
        <v>78</v>
      </c>
      <c r="F18" s="125"/>
      <c r="G18" s="32" t="s">
        <v>79</v>
      </c>
      <c r="H18" s="48" t="s">
        <v>80</v>
      </c>
      <c r="I18" s="49" t="s">
        <v>47</v>
      </c>
      <c r="J18" s="50">
        <v>0.25</v>
      </c>
      <c r="K18" s="50">
        <v>0.25</v>
      </c>
      <c r="L18" s="50">
        <v>0.25</v>
      </c>
      <c r="M18" s="50">
        <v>0.25</v>
      </c>
      <c r="N18" s="52">
        <v>7500</v>
      </c>
      <c r="O18" s="52">
        <f>23500+2088.07</f>
        <v>25588.07</v>
      </c>
      <c r="P18" s="55">
        <v>-349.36</v>
      </c>
      <c r="Q18" s="36">
        <f>+O18+N18+P18</f>
        <v>32738.71</v>
      </c>
      <c r="R18" s="52"/>
      <c r="S18" s="52"/>
      <c r="T18" s="51">
        <f>+(2580*12%)+2580</f>
        <v>2889.6</v>
      </c>
      <c r="U18" s="51"/>
      <c r="V18" s="51"/>
      <c r="W18" s="51"/>
      <c r="X18" s="51">
        <f>1055.08+169.34+77.72+31.71+23.6+29.79+32.57+4.07+5.47+6.78+3.63+89.6+5824</f>
        <v>7353.36</v>
      </c>
      <c r="Y18" s="51">
        <f>+(1365*1.12)+397.6</f>
        <v>1926.4</v>
      </c>
      <c r="Z18" s="51">
        <f>4961.6+348.41</f>
        <v>5310.01</v>
      </c>
      <c r="AA18" s="37">
        <f>1341.69+2629.98</f>
        <v>3971.67</v>
      </c>
      <c r="AB18" s="37">
        <f>6997.76</f>
        <v>6997.76</v>
      </c>
      <c r="AC18" s="63">
        <f>2240+537.69+616+90.94</f>
        <v>3484.63</v>
      </c>
      <c r="AD18" s="40">
        <f>+SUM(R18:AC18)</f>
        <v>31933.430000000004</v>
      </c>
      <c r="AE18" s="38">
        <f>+Q18-AD18</f>
        <v>805.2799999999952</v>
      </c>
      <c r="AF18" s="38">
        <f t="shared" si="2"/>
        <v>32738.71</v>
      </c>
      <c r="AG18" s="38">
        <v>30650.639999999999</v>
      </c>
      <c r="AH18" s="41">
        <f t="shared" si="0"/>
        <v>0.97540281825398756</v>
      </c>
      <c r="AI18" s="64"/>
      <c r="AJ18" s="53" t="s">
        <v>49</v>
      </c>
      <c r="AK18" s="54" t="s">
        <v>81</v>
      </c>
    </row>
    <row r="19" spans="1:38" s="1" customFormat="1" ht="30">
      <c r="A19" s="45">
        <v>7</v>
      </c>
      <c r="B19" s="46" t="s">
        <v>82</v>
      </c>
      <c r="C19" s="47"/>
      <c r="D19" s="47" t="s">
        <v>83</v>
      </c>
      <c r="E19" s="125" t="s">
        <v>84</v>
      </c>
      <c r="F19" s="125"/>
      <c r="G19" s="32" t="s">
        <v>85</v>
      </c>
      <c r="H19" s="48" t="s">
        <v>86</v>
      </c>
      <c r="I19" s="49" t="s">
        <v>47</v>
      </c>
      <c r="J19" s="50">
        <v>0.25</v>
      </c>
      <c r="K19" s="50">
        <v>0.25</v>
      </c>
      <c r="L19" s="50">
        <v>0.25</v>
      </c>
      <c r="M19" s="50"/>
      <c r="N19" s="52">
        <v>7000</v>
      </c>
      <c r="O19" s="52"/>
      <c r="P19" s="38"/>
      <c r="Q19" s="36">
        <f>+N19</f>
        <v>7000</v>
      </c>
      <c r="R19" s="52"/>
      <c r="S19" s="51">
        <f>+(526.51*12%)+526.51</f>
        <v>589.69119999999998</v>
      </c>
      <c r="T19" s="51"/>
      <c r="U19" s="51">
        <v>1170.21</v>
      </c>
      <c r="V19" s="51"/>
      <c r="W19" s="51"/>
      <c r="X19" s="51"/>
      <c r="Y19" s="51">
        <f>848.74*1.12</f>
        <v>950.58880000000011</v>
      </c>
      <c r="Z19" s="52"/>
      <c r="AA19" s="37">
        <f>1231.82+527.37</f>
        <v>1759.19</v>
      </c>
      <c r="AB19" s="52"/>
      <c r="AC19" s="51">
        <f>284.57+219.37</f>
        <v>503.94</v>
      </c>
      <c r="AD19" s="40">
        <f>+SUM(R19:AC19)</f>
        <v>4973.62</v>
      </c>
      <c r="AE19" s="38">
        <f>+N19-AD19</f>
        <v>2026.38</v>
      </c>
      <c r="AF19" s="38">
        <f t="shared" si="2"/>
        <v>7000</v>
      </c>
      <c r="AG19" s="38">
        <v>7000</v>
      </c>
      <c r="AH19" s="61">
        <f t="shared" si="0"/>
        <v>0.71051714285714285</v>
      </c>
      <c r="AJ19" s="53" t="s">
        <v>49</v>
      </c>
      <c r="AK19" s="54" t="s">
        <v>87</v>
      </c>
      <c r="AL19" s="59"/>
    </row>
    <row r="20" spans="1:38" s="1" customFormat="1" ht="45">
      <c r="A20" s="65">
        <v>8</v>
      </c>
      <c r="B20" s="66" t="s">
        <v>82</v>
      </c>
      <c r="C20" s="47"/>
      <c r="D20" s="67" t="s">
        <v>88</v>
      </c>
      <c r="E20" s="145" t="s">
        <v>89</v>
      </c>
      <c r="F20" s="146"/>
      <c r="G20" s="32" t="s">
        <v>90</v>
      </c>
      <c r="H20" s="48" t="s">
        <v>91</v>
      </c>
      <c r="I20" s="49" t="s">
        <v>92</v>
      </c>
      <c r="J20" s="50">
        <v>0.5</v>
      </c>
      <c r="K20" s="50">
        <v>0</v>
      </c>
      <c r="L20" s="50">
        <v>0.5</v>
      </c>
      <c r="M20" s="50">
        <v>0</v>
      </c>
      <c r="N20" s="56">
        <v>2180</v>
      </c>
      <c r="O20" s="56"/>
      <c r="P20" s="60"/>
      <c r="Q20" s="68">
        <f>+N20</f>
        <v>2180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60">
        <f t="shared" si="1"/>
        <v>0</v>
      </c>
      <c r="AE20" s="60">
        <f>+N20</f>
        <v>2180</v>
      </c>
      <c r="AF20" s="38">
        <f t="shared" si="2"/>
        <v>2180</v>
      </c>
      <c r="AG20" s="38">
        <v>2180</v>
      </c>
      <c r="AH20" s="69">
        <f t="shared" si="0"/>
        <v>0</v>
      </c>
      <c r="AI20" s="56"/>
      <c r="AJ20" s="70" t="s">
        <v>49</v>
      </c>
      <c r="AK20" s="71" t="s">
        <v>93</v>
      </c>
    </row>
    <row r="21" spans="1:38" s="1" customFormat="1">
      <c r="A21" s="45">
        <v>9</v>
      </c>
      <c r="B21" s="46"/>
      <c r="C21" s="47"/>
      <c r="D21" s="72" t="s">
        <v>83</v>
      </c>
      <c r="E21" s="147"/>
      <c r="F21" s="148"/>
      <c r="G21" s="32"/>
      <c r="H21" s="48"/>
      <c r="I21" s="49"/>
      <c r="J21" s="50"/>
      <c r="K21" s="50"/>
      <c r="L21" s="50"/>
      <c r="M21" s="50"/>
      <c r="N21" s="52"/>
      <c r="O21" s="52"/>
      <c r="P21" s="52"/>
      <c r="Q21" s="36">
        <v>5990</v>
      </c>
      <c r="R21" s="58"/>
      <c r="S21" s="58"/>
      <c r="T21" s="58"/>
      <c r="U21" s="51">
        <f>5348.93*1.12</f>
        <v>5990.8016000000007</v>
      </c>
      <c r="V21" s="58"/>
      <c r="W21" s="58"/>
      <c r="X21" s="58"/>
      <c r="Y21" s="58"/>
      <c r="Z21" s="58"/>
      <c r="AA21" s="58"/>
      <c r="AB21" s="58"/>
      <c r="AC21" s="58"/>
      <c r="AD21" s="40">
        <f t="shared" si="1"/>
        <v>5990.8016000000007</v>
      </c>
      <c r="AE21" s="38">
        <f>+N21</f>
        <v>0</v>
      </c>
      <c r="AF21" s="38">
        <f t="shared" si="2"/>
        <v>5990.8016000000007</v>
      </c>
      <c r="AG21" s="38">
        <v>5990</v>
      </c>
      <c r="AH21" s="41">
        <f t="shared" si="0"/>
        <v>1.0001338230383974</v>
      </c>
      <c r="AI21" s="58"/>
      <c r="AJ21" s="53" t="s">
        <v>49</v>
      </c>
      <c r="AK21" s="54" t="s">
        <v>93</v>
      </c>
    </row>
    <row r="22" spans="1:38" s="1" customFormat="1" ht="45">
      <c r="A22" s="47">
        <v>10</v>
      </c>
      <c r="B22" s="62" t="s">
        <v>82</v>
      </c>
      <c r="C22" s="47"/>
      <c r="D22" s="47" t="s">
        <v>94</v>
      </c>
      <c r="E22" s="125" t="s">
        <v>95</v>
      </c>
      <c r="F22" s="125"/>
      <c r="G22" s="32" t="s">
        <v>96</v>
      </c>
      <c r="H22" s="48" t="s">
        <v>97</v>
      </c>
      <c r="I22" s="49" t="s">
        <v>47</v>
      </c>
      <c r="J22" s="50">
        <v>0.25</v>
      </c>
      <c r="K22" s="50">
        <v>0.25</v>
      </c>
      <c r="L22" s="50">
        <v>0.25</v>
      </c>
      <c r="M22" s="50">
        <v>0.25</v>
      </c>
      <c r="N22" s="52">
        <v>5000</v>
      </c>
      <c r="O22" s="52"/>
      <c r="P22" s="38"/>
      <c r="Q22" s="35">
        <f>+N22</f>
        <v>5000</v>
      </c>
      <c r="R22" s="52" t="s">
        <v>98</v>
      </c>
      <c r="S22" s="73"/>
      <c r="T22" s="52"/>
      <c r="U22" s="52"/>
      <c r="V22" s="51">
        <f>128.8+168.16+108.66</f>
        <v>405.62</v>
      </c>
      <c r="W22" s="52"/>
      <c r="X22" s="51">
        <f>238.21+190.83</f>
        <v>429.04</v>
      </c>
      <c r="Y22" s="52"/>
      <c r="Z22" s="51">
        <f>176.06+249.01</f>
        <v>425.07</v>
      </c>
      <c r="AA22" s="51">
        <v>266.61</v>
      </c>
      <c r="AB22" s="51">
        <f>312.29+554.83</f>
        <v>867.12000000000012</v>
      </c>
      <c r="AC22" s="39">
        <v>331.17</v>
      </c>
      <c r="AD22" s="40">
        <f>+SUM(R22:AC22)</f>
        <v>2724.63</v>
      </c>
      <c r="AE22" s="74">
        <f>+N22-AD22</f>
        <v>2275.37</v>
      </c>
      <c r="AF22" s="38">
        <f t="shared" si="2"/>
        <v>5000</v>
      </c>
      <c r="AG22" s="74">
        <v>5000</v>
      </c>
      <c r="AH22" s="75">
        <f t="shared" si="0"/>
        <v>0.54492600000000002</v>
      </c>
      <c r="AI22" s="42" t="s">
        <v>75</v>
      </c>
      <c r="AJ22" s="76" t="s">
        <v>49</v>
      </c>
      <c r="AK22" s="77" t="s">
        <v>99</v>
      </c>
    </row>
    <row r="23" spans="1:38" s="1" customFormat="1" ht="45">
      <c r="A23" s="78">
        <v>11</v>
      </c>
      <c r="B23" s="128" t="s">
        <v>42</v>
      </c>
      <c r="C23" s="78"/>
      <c r="D23" s="78" t="s">
        <v>100</v>
      </c>
      <c r="E23" s="141" t="s">
        <v>101</v>
      </c>
      <c r="F23" s="141"/>
      <c r="G23" s="79" t="s">
        <v>102</v>
      </c>
      <c r="H23" s="80" t="s">
        <v>97</v>
      </c>
      <c r="I23" s="81" t="s">
        <v>103</v>
      </c>
      <c r="J23" s="82" t="s">
        <v>103</v>
      </c>
      <c r="K23" s="82">
        <v>1</v>
      </c>
      <c r="L23" s="82" t="s">
        <v>103</v>
      </c>
      <c r="M23" s="82" t="s">
        <v>104</v>
      </c>
      <c r="N23" s="83">
        <f>7000-N24</f>
        <v>6016.6399999999994</v>
      </c>
      <c r="O23" s="56"/>
      <c r="P23" s="60">
        <f>-2150.4-2088.07</f>
        <v>-4238.47</v>
      </c>
      <c r="Q23" s="68">
        <f>+N23+P23</f>
        <v>1778.1699999999992</v>
      </c>
      <c r="R23" s="56" t="s">
        <v>105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60">
        <f>+SUM(R23:AC23)</f>
        <v>0</v>
      </c>
      <c r="AE23" s="60">
        <f>+Q23-AD23</f>
        <v>1778.1699999999992</v>
      </c>
      <c r="AF23" s="38">
        <f t="shared" si="2"/>
        <v>1778.1699999999992</v>
      </c>
      <c r="AG23" s="38">
        <v>6016.6399999999994</v>
      </c>
      <c r="AH23" s="69">
        <f t="shared" si="0"/>
        <v>0</v>
      </c>
      <c r="AI23" s="84"/>
      <c r="AJ23" s="80" t="s">
        <v>49</v>
      </c>
      <c r="AK23" s="85" t="s">
        <v>106</v>
      </c>
    </row>
    <row r="24" spans="1:38" s="1" customFormat="1">
      <c r="A24" s="47">
        <v>12</v>
      </c>
      <c r="B24" s="129"/>
      <c r="C24" s="47"/>
      <c r="D24" s="86" t="s">
        <v>100</v>
      </c>
      <c r="E24" s="135" t="s">
        <v>107</v>
      </c>
      <c r="F24" s="136"/>
      <c r="G24" s="32"/>
      <c r="H24" s="48"/>
      <c r="I24" s="49"/>
      <c r="J24" s="50"/>
      <c r="K24" s="50"/>
      <c r="L24" s="50"/>
      <c r="M24" s="50"/>
      <c r="N24" s="52">
        <f>878*1.12</f>
        <v>983.36000000000013</v>
      </c>
      <c r="O24" s="52"/>
      <c r="P24" s="38"/>
      <c r="Q24" s="36">
        <f>+N24</f>
        <v>983.36000000000013</v>
      </c>
      <c r="R24" s="52" t="s">
        <v>108</v>
      </c>
      <c r="S24" s="52"/>
      <c r="T24" s="52"/>
      <c r="U24" s="52"/>
      <c r="V24" s="52"/>
      <c r="W24" s="52"/>
      <c r="X24" s="51">
        <f>+(878 *12%)+878</f>
        <v>983.36</v>
      </c>
      <c r="Y24" s="52"/>
      <c r="Z24" s="52"/>
      <c r="AA24" s="52"/>
      <c r="AB24" s="52"/>
      <c r="AC24" s="52"/>
      <c r="AD24" s="40">
        <f t="shared" si="1"/>
        <v>983.36</v>
      </c>
      <c r="AE24" s="38">
        <f>+N24-AD24</f>
        <v>0</v>
      </c>
      <c r="AF24" s="38">
        <f t="shared" si="2"/>
        <v>983.36</v>
      </c>
      <c r="AG24" s="38">
        <v>983.36000000000013</v>
      </c>
      <c r="AH24" s="41">
        <f t="shared" si="0"/>
        <v>0.99999999999999989</v>
      </c>
      <c r="AI24" s="87"/>
      <c r="AJ24" s="76" t="s">
        <v>49</v>
      </c>
      <c r="AK24" s="77" t="s">
        <v>109</v>
      </c>
    </row>
    <row r="25" spans="1:38" s="1" customFormat="1">
      <c r="A25" s="47">
        <v>13</v>
      </c>
      <c r="B25" s="130"/>
      <c r="C25" s="47"/>
      <c r="D25" s="47" t="s">
        <v>100</v>
      </c>
      <c r="E25" s="135" t="s">
        <v>110</v>
      </c>
      <c r="F25" s="136"/>
      <c r="G25" s="32" t="s">
        <v>111</v>
      </c>
      <c r="H25" s="48"/>
      <c r="I25" s="49"/>
      <c r="J25" s="50"/>
      <c r="K25" s="50"/>
      <c r="L25" s="50"/>
      <c r="M25" s="50">
        <v>1</v>
      </c>
      <c r="N25" s="52"/>
      <c r="O25" s="52"/>
      <c r="P25" s="38">
        <v>2150.4</v>
      </c>
      <c r="Q25" s="36">
        <f>+P25</f>
        <v>2150.4</v>
      </c>
      <c r="R25" s="52"/>
      <c r="S25" s="52"/>
      <c r="T25" s="52"/>
      <c r="U25" s="52"/>
      <c r="V25" s="52"/>
      <c r="W25" s="52"/>
      <c r="X25" s="51"/>
      <c r="Y25" s="52"/>
      <c r="Z25" s="52"/>
      <c r="AA25" s="52"/>
      <c r="AB25" s="52"/>
      <c r="AC25" s="52">
        <v>2150.4</v>
      </c>
      <c r="AD25" s="40">
        <f>+SUM(R25:AC25)</f>
        <v>2150.4</v>
      </c>
      <c r="AE25" s="38">
        <f>+Q25-AD25</f>
        <v>0</v>
      </c>
      <c r="AF25" s="38"/>
      <c r="AG25" s="38"/>
      <c r="AH25" s="41">
        <f t="shared" si="0"/>
        <v>1</v>
      </c>
      <c r="AI25" s="87"/>
      <c r="AJ25" s="76" t="s">
        <v>49</v>
      </c>
      <c r="AK25" s="77" t="s">
        <v>112</v>
      </c>
    </row>
    <row r="26" spans="1:38" s="1" customFormat="1" ht="105">
      <c r="A26" s="47">
        <v>14</v>
      </c>
      <c r="B26" s="142" t="s">
        <v>82</v>
      </c>
      <c r="C26" s="47"/>
      <c r="D26" s="47" t="s">
        <v>83</v>
      </c>
      <c r="E26" s="125" t="s">
        <v>113</v>
      </c>
      <c r="F26" s="125"/>
      <c r="G26" s="32" t="s">
        <v>114</v>
      </c>
      <c r="H26" s="48" t="s">
        <v>115</v>
      </c>
      <c r="I26" s="49" t="s">
        <v>116</v>
      </c>
      <c r="J26" s="50">
        <v>0</v>
      </c>
      <c r="K26" s="50">
        <v>0.25</v>
      </c>
      <c r="L26" s="50">
        <v>0.5</v>
      </c>
      <c r="M26" s="50">
        <v>0.25</v>
      </c>
      <c r="N26" s="52">
        <v>6000</v>
      </c>
      <c r="O26" s="52"/>
      <c r="P26" s="38"/>
      <c r="Q26" s="36">
        <f>+N26</f>
        <v>6000</v>
      </c>
      <c r="R26" s="52"/>
      <c r="S26" s="52"/>
      <c r="T26" s="52"/>
      <c r="U26" s="52"/>
      <c r="V26" s="52"/>
      <c r="W26" s="52"/>
      <c r="X26" s="51">
        <f>25*41</f>
        <v>1025</v>
      </c>
      <c r="Y26" s="52"/>
      <c r="Z26" s="52"/>
      <c r="AA26" s="52"/>
      <c r="AB26" s="52"/>
      <c r="AC26" s="39">
        <v>2600</v>
      </c>
      <c r="AD26" s="40">
        <f>+SUM(R26:AC26)</f>
        <v>3625</v>
      </c>
      <c r="AE26" s="38">
        <f>+N26-AD26</f>
        <v>2375</v>
      </c>
      <c r="AF26" s="38">
        <f t="shared" si="2"/>
        <v>6000</v>
      </c>
      <c r="AG26" s="38">
        <v>6000</v>
      </c>
      <c r="AH26" s="61">
        <f t="shared" si="0"/>
        <v>0.60416666666666663</v>
      </c>
      <c r="AI26" s="52"/>
      <c r="AJ26" s="53" t="s">
        <v>49</v>
      </c>
      <c r="AK26" s="54" t="s">
        <v>117</v>
      </c>
    </row>
    <row r="27" spans="1:38" s="1" customFormat="1" ht="30">
      <c r="A27" s="47">
        <v>15</v>
      </c>
      <c r="B27" s="143"/>
      <c r="C27" s="47"/>
      <c r="D27" s="86" t="s">
        <v>83</v>
      </c>
      <c r="E27" s="135" t="s">
        <v>118</v>
      </c>
      <c r="F27" s="136"/>
      <c r="G27" s="32"/>
      <c r="H27" s="48"/>
      <c r="I27" s="49"/>
      <c r="J27" s="50"/>
      <c r="K27" s="50">
        <v>1</v>
      </c>
      <c r="L27" s="50"/>
      <c r="M27" s="50"/>
      <c r="N27" s="52">
        <v>4000</v>
      </c>
      <c r="O27" s="52"/>
      <c r="P27" s="88"/>
      <c r="Q27" s="89">
        <f>+N27</f>
        <v>4000</v>
      </c>
      <c r="R27" s="52"/>
      <c r="S27" s="52"/>
      <c r="T27" s="52"/>
      <c r="U27" s="52"/>
      <c r="V27" s="52"/>
      <c r="W27" s="52"/>
      <c r="X27" s="51">
        <f>+'[4]PLAN ANUAL DE COMPRAS  REF'!$AD$33*1.12</f>
        <v>3744.1824000000001</v>
      </c>
      <c r="Y27" s="52"/>
      <c r="Z27" s="52"/>
      <c r="AA27" s="52"/>
      <c r="AB27" s="52"/>
      <c r="AC27" s="52"/>
      <c r="AD27" s="40">
        <f t="shared" si="1"/>
        <v>3744.1824000000001</v>
      </c>
      <c r="AE27" s="38">
        <f>+N27-AD27</f>
        <v>255.81759999999986</v>
      </c>
      <c r="AF27" s="38">
        <f t="shared" si="2"/>
        <v>4000</v>
      </c>
      <c r="AG27" s="38">
        <v>4000</v>
      </c>
      <c r="AH27" s="41">
        <f t="shared" si="0"/>
        <v>0.93604560000000003</v>
      </c>
      <c r="AI27" s="52"/>
      <c r="AJ27" s="53" t="s">
        <v>49</v>
      </c>
      <c r="AK27" s="54" t="s">
        <v>119</v>
      </c>
    </row>
    <row r="28" spans="1:38" s="1" customFormat="1" ht="30">
      <c r="A28" s="47">
        <v>16</v>
      </c>
      <c r="B28" s="144"/>
      <c r="C28" s="47"/>
      <c r="D28" s="86" t="s">
        <v>83</v>
      </c>
      <c r="E28" s="135" t="s">
        <v>120</v>
      </c>
      <c r="F28" s="136"/>
      <c r="G28" s="32"/>
      <c r="H28" s="48"/>
      <c r="I28" s="49"/>
      <c r="J28" s="50"/>
      <c r="K28" s="50"/>
      <c r="L28" s="50"/>
      <c r="M28" s="50">
        <v>1</v>
      </c>
      <c r="N28" s="52"/>
      <c r="O28" s="52"/>
      <c r="P28" s="88"/>
      <c r="Q28" s="89">
        <v>7616</v>
      </c>
      <c r="R28" s="52"/>
      <c r="S28" s="52"/>
      <c r="T28" s="52"/>
      <c r="U28" s="52"/>
      <c r="V28" s="52"/>
      <c r="W28" s="52"/>
      <c r="X28" s="51"/>
      <c r="Y28" s="52"/>
      <c r="Z28" s="52"/>
      <c r="AA28" s="51">
        <v>7616</v>
      </c>
      <c r="AC28" s="52"/>
      <c r="AD28" s="40">
        <f t="shared" si="1"/>
        <v>7616</v>
      </c>
      <c r="AE28" s="38">
        <f>+Q28-AD28</f>
        <v>0</v>
      </c>
      <c r="AF28" s="38">
        <f t="shared" si="2"/>
        <v>7616</v>
      </c>
      <c r="AG28" s="38">
        <v>7616</v>
      </c>
      <c r="AH28" s="41">
        <f t="shared" si="0"/>
        <v>1</v>
      </c>
      <c r="AI28" s="52"/>
      <c r="AJ28" s="53" t="s">
        <v>49</v>
      </c>
      <c r="AK28" s="54" t="s">
        <v>121</v>
      </c>
    </row>
    <row r="29" spans="1:38" s="1" customFormat="1" ht="60">
      <c r="A29" s="47">
        <v>17</v>
      </c>
      <c r="B29" s="46" t="s">
        <v>82</v>
      </c>
      <c r="C29" s="45"/>
      <c r="D29" s="45" t="s">
        <v>83</v>
      </c>
      <c r="E29" s="139" t="s">
        <v>122</v>
      </c>
      <c r="F29" s="139"/>
      <c r="G29" s="90" t="s">
        <v>123</v>
      </c>
      <c r="H29" s="91" t="s">
        <v>124</v>
      </c>
      <c r="I29" s="92" t="s">
        <v>47</v>
      </c>
      <c r="J29" s="93">
        <v>0.1</v>
      </c>
      <c r="K29" s="93">
        <v>0.25</v>
      </c>
      <c r="L29" s="93">
        <v>0.4</v>
      </c>
      <c r="M29" s="93">
        <v>0.25</v>
      </c>
      <c r="N29" s="52">
        <v>7000</v>
      </c>
      <c r="O29" s="90"/>
      <c r="P29" s="91"/>
      <c r="Q29" s="94">
        <f>+N29+O29</f>
        <v>7000</v>
      </c>
      <c r="R29" s="52"/>
      <c r="S29" s="52"/>
      <c r="T29" s="52"/>
      <c r="U29" s="52"/>
      <c r="V29" s="52"/>
      <c r="W29" s="52"/>
      <c r="X29" s="52"/>
      <c r="Y29" s="52"/>
      <c r="Z29" s="51">
        <v>3961.59</v>
      </c>
      <c r="AB29" s="52"/>
      <c r="AC29" s="39">
        <v>1116.6400000000001</v>
      </c>
      <c r="AD29" s="40">
        <f t="shared" si="1"/>
        <v>5078.2300000000005</v>
      </c>
      <c r="AE29" s="38">
        <f>+N29-AD29</f>
        <v>1921.7699999999995</v>
      </c>
      <c r="AF29" s="38">
        <f t="shared" si="2"/>
        <v>7000</v>
      </c>
      <c r="AG29" s="38">
        <v>7000</v>
      </c>
      <c r="AH29" s="61">
        <f t="shared" si="0"/>
        <v>0.72546142857142859</v>
      </c>
      <c r="AI29" s="52"/>
      <c r="AJ29" s="53" t="s">
        <v>49</v>
      </c>
      <c r="AK29" s="54" t="s">
        <v>125</v>
      </c>
    </row>
    <row r="30" spans="1:38" s="1" customFormat="1" ht="45">
      <c r="A30" s="78">
        <v>18</v>
      </c>
      <c r="B30" s="95" t="s">
        <v>82</v>
      </c>
      <c r="C30" s="96"/>
      <c r="D30" s="96" t="s">
        <v>83</v>
      </c>
      <c r="E30" s="140" t="s">
        <v>126</v>
      </c>
      <c r="F30" s="140"/>
      <c r="G30" s="97" t="s">
        <v>127</v>
      </c>
      <c r="H30" s="70" t="s">
        <v>128</v>
      </c>
      <c r="I30" s="98" t="s">
        <v>47</v>
      </c>
      <c r="J30" s="99">
        <v>0.33</v>
      </c>
      <c r="K30" s="99">
        <v>0.33</v>
      </c>
      <c r="L30" s="99">
        <v>0.34</v>
      </c>
      <c r="M30" s="99"/>
      <c r="N30" s="56">
        <v>2400</v>
      </c>
      <c r="O30" s="97"/>
      <c r="P30" s="70"/>
      <c r="Q30" s="100">
        <f>+N30+O30</f>
        <v>2400</v>
      </c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60">
        <f t="shared" si="1"/>
        <v>0</v>
      </c>
      <c r="AE30" s="60">
        <f>+N30-AD30</f>
        <v>2400</v>
      </c>
      <c r="AF30" s="38">
        <f t="shared" si="2"/>
        <v>2400</v>
      </c>
      <c r="AG30" s="38">
        <v>2400</v>
      </c>
      <c r="AH30" s="69">
        <f t="shared" si="0"/>
        <v>0</v>
      </c>
      <c r="AI30" s="56"/>
      <c r="AJ30" s="70" t="s">
        <v>49</v>
      </c>
      <c r="AK30" s="71" t="s">
        <v>129</v>
      </c>
    </row>
    <row r="31" spans="1:38" s="1" customFormat="1" ht="60">
      <c r="A31" s="47">
        <v>19</v>
      </c>
      <c r="B31" s="46" t="s">
        <v>82</v>
      </c>
      <c r="C31" s="47"/>
      <c r="D31" s="47" t="s">
        <v>83</v>
      </c>
      <c r="E31" s="125" t="s">
        <v>130</v>
      </c>
      <c r="F31" s="125"/>
      <c r="G31" s="32" t="s">
        <v>131</v>
      </c>
      <c r="H31" s="48" t="s">
        <v>132</v>
      </c>
      <c r="I31" s="49" t="s">
        <v>47</v>
      </c>
      <c r="J31" s="50">
        <v>0.25</v>
      </c>
      <c r="K31" s="50">
        <v>0.25</v>
      </c>
      <c r="L31" s="50">
        <v>0.25</v>
      </c>
      <c r="M31" s="50">
        <v>0.25</v>
      </c>
      <c r="N31" s="52">
        <v>43060</v>
      </c>
      <c r="O31" s="52"/>
      <c r="P31" s="38"/>
      <c r="Q31" s="36">
        <f>+N31-7616-Q21</f>
        <v>29454</v>
      </c>
      <c r="R31" s="52"/>
      <c r="S31" s="52"/>
      <c r="T31" s="52"/>
      <c r="U31" s="51"/>
      <c r="V31" s="51">
        <f>7243.32+3868.47</f>
        <v>11111.789999999999</v>
      </c>
      <c r="W31" s="52"/>
      <c r="X31" s="52"/>
      <c r="Y31" s="52"/>
      <c r="Z31" s="52"/>
      <c r="AA31" s="56"/>
      <c r="AB31" s="51"/>
      <c r="AC31" s="39">
        <f>2058.44+3797.92+918.97</f>
        <v>6775.3300000000008</v>
      </c>
      <c r="AD31" s="40">
        <f>+SUM(R31:AC31)</f>
        <v>17887.12</v>
      </c>
      <c r="AE31" s="38">
        <f>+Q31-AD31</f>
        <v>11566.880000000001</v>
      </c>
      <c r="AF31" s="38">
        <f t="shared" si="2"/>
        <v>29454</v>
      </c>
      <c r="AG31" s="38">
        <v>29454</v>
      </c>
      <c r="AH31" s="61">
        <f t="shared" si="0"/>
        <v>0.60729001154342366</v>
      </c>
      <c r="AI31" s="52"/>
      <c r="AJ31" s="76" t="s">
        <v>49</v>
      </c>
      <c r="AK31" s="77" t="s">
        <v>133</v>
      </c>
    </row>
    <row r="32" spans="1:38" s="1" customFormat="1" ht="45">
      <c r="A32" s="78">
        <v>20</v>
      </c>
      <c r="B32" s="95" t="s">
        <v>82</v>
      </c>
      <c r="C32" s="78"/>
      <c r="D32" s="78" t="s">
        <v>83</v>
      </c>
      <c r="E32" s="141" t="s">
        <v>134</v>
      </c>
      <c r="F32" s="141"/>
      <c r="G32" s="79" t="s">
        <v>131</v>
      </c>
      <c r="H32" s="80" t="s">
        <v>135</v>
      </c>
      <c r="I32" s="81" t="s">
        <v>47</v>
      </c>
      <c r="J32" s="82">
        <v>0.25</v>
      </c>
      <c r="K32" s="82">
        <v>0.25</v>
      </c>
      <c r="L32" s="82">
        <v>0.25</v>
      </c>
      <c r="M32" s="82">
        <v>0.25</v>
      </c>
      <c r="N32" s="56">
        <v>6940</v>
      </c>
      <c r="O32" s="56"/>
      <c r="P32" s="60"/>
      <c r="Q32" s="68">
        <f>+N32</f>
        <v>6940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60">
        <f t="shared" si="1"/>
        <v>0</v>
      </c>
      <c r="AE32" s="60">
        <f>+N32-AD32</f>
        <v>6940</v>
      </c>
      <c r="AF32" s="38">
        <f t="shared" si="2"/>
        <v>6940</v>
      </c>
      <c r="AG32" s="38">
        <v>6940</v>
      </c>
      <c r="AH32" s="69">
        <f t="shared" si="0"/>
        <v>0</v>
      </c>
      <c r="AI32" s="56"/>
      <c r="AJ32" s="80" t="s">
        <v>49</v>
      </c>
      <c r="AK32" s="85" t="s">
        <v>133</v>
      </c>
    </row>
    <row r="33" spans="1:37" s="1" customFormat="1" ht="60">
      <c r="A33" s="47">
        <v>21</v>
      </c>
      <c r="B33" s="46" t="s">
        <v>136</v>
      </c>
      <c r="C33" s="47"/>
      <c r="D33" s="62" t="s">
        <v>137</v>
      </c>
      <c r="E33" s="125" t="s">
        <v>138</v>
      </c>
      <c r="F33" s="125"/>
      <c r="G33" s="32" t="s">
        <v>139</v>
      </c>
      <c r="H33" s="48" t="s">
        <v>140</v>
      </c>
      <c r="I33" s="49" t="s">
        <v>47</v>
      </c>
      <c r="J33" s="50">
        <v>0.4</v>
      </c>
      <c r="K33" s="50">
        <v>0.2</v>
      </c>
      <c r="L33" s="50">
        <v>0.2</v>
      </c>
      <c r="M33" s="50">
        <v>0.2</v>
      </c>
      <c r="N33" s="52">
        <v>7000</v>
      </c>
      <c r="O33" s="52"/>
      <c r="P33" s="38"/>
      <c r="Q33" s="36">
        <f>+N33</f>
        <v>7000</v>
      </c>
      <c r="R33" s="52"/>
      <c r="S33" s="52"/>
      <c r="T33" s="52"/>
      <c r="U33" s="52"/>
      <c r="V33" s="52"/>
      <c r="W33" s="52"/>
      <c r="X33" s="101"/>
      <c r="Y33" s="102"/>
      <c r="Z33" s="101"/>
      <c r="AA33" s="51">
        <v>1210</v>
      </c>
      <c r="AC33" s="39">
        <v>3057.53</v>
      </c>
      <c r="AD33" s="40">
        <f t="shared" si="1"/>
        <v>4267.5300000000007</v>
      </c>
      <c r="AE33" s="38">
        <f>+N33-AD33</f>
        <v>2732.4699999999993</v>
      </c>
      <c r="AF33" s="38">
        <f t="shared" si="2"/>
        <v>7000</v>
      </c>
      <c r="AG33" s="38">
        <v>7000</v>
      </c>
      <c r="AH33" s="61">
        <f t="shared" si="0"/>
        <v>0.60964714285714294</v>
      </c>
      <c r="AI33" s="52"/>
      <c r="AJ33" s="76" t="s">
        <v>49</v>
      </c>
      <c r="AK33" s="77" t="s">
        <v>141</v>
      </c>
    </row>
    <row r="34" spans="1:37" s="1" customFormat="1" ht="90">
      <c r="A34" s="47">
        <v>22</v>
      </c>
      <c r="B34" s="62" t="s">
        <v>142</v>
      </c>
      <c r="C34" s="47"/>
      <c r="D34" s="47" t="s">
        <v>143</v>
      </c>
      <c r="E34" s="125" t="s">
        <v>144</v>
      </c>
      <c r="F34" s="125"/>
      <c r="G34" s="32" t="s">
        <v>145</v>
      </c>
      <c r="H34" s="48" t="s">
        <v>146</v>
      </c>
      <c r="I34" s="49" t="s">
        <v>47</v>
      </c>
      <c r="J34" s="50">
        <v>0.25</v>
      </c>
      <c r="K34" s="50">
        <v>0.25</v>
      </c>
      <c r="L34" s="50">
        <v>0.25</v>
      </c>
      <c r="M34" s="50">
        <v>0.25</v>
      </c>
      <c r="N34" s="52">
        <v>7020</v>
      </c>
      <c r="O34" s="52"/>
      <c r="P34" s="38">
        <f>-+P35</f>
        <v>-1606.91</v>
      </c>
      <c r="Q34" s="36">
        <f>+N34+P34</f>
        <v>5413.09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87"/>
      <c r="AB34" s="87"/>
      <c r="AC34" s="39">
        <f>(81*60)*1.12</f>
        <v>5443.2000000000007</v>
      </c>
      <c r="AD34" s="40">
        <f t="shared" si="1"/>
        <v>5443.2000000000007</v>
      </c>
      <c r="AE34" s="38">
        <f>+Q34-AD34</f>
        <v>-30.110000000000582</v>
      </c>
      <c r="AF34" s="38">
        <f>+AD34+AE34</f>
        <v>5413.09</v>
      </c>
      <c r="AG34" s="38">
        <v>5413.09</v>
      </c>
      <c r="AH34" s="41">
        <f t="shared" si="0"/>
        <v>1.0055624421541116</v>
      </c>
      <c r="AI34" s="52"/>
      <c r="AJ34" s="76" t="s">
        <v>49</v>
      </c>
      <c r="AK34" s="77" t="s">
        <v>147</v>
      </c>
    </row>
    <row r="35" spans="1:37" s="1" customFormat="1" ht="105">
      <c r="A35" s="47">
        <v>23</v>
      </c>
      <c r="B35" s="131" t="s">
        <v>142</v>
      </c>
      <c r="C35" s="104"/>
      <c r="D35" s="104" t="s">
        <v>143</v>
      </c>
      <c r="E35" s="134" t="s">
        <v>148</v>
      </c>
      <c r="F35" s="134"/>
      <c r="G35" s="105" t="s">
        <v>149</v>
      </c>
      <c r="H35" s="106" t="s">
        <v>150</v>
      </c>
      <c r="I35" s="49" t="s">
        <v>47</v>
      </c>
      <c r="J35" s="50">
        <v>0.25</v>
      </c>
      <c r="K35" s="50">
        <v>0.25</v>
      </c>
      <c r="L35" s="50">
        <v>0.25</v>
      </c>
      <c r="M35" s="50">
        <v>0.25</v>
      </c>
      <c r="N35" s="52">
        <v>25000</v>
      </c>
      <c r="O35" s="52"/>
      <c r="P35" s="38">
        <v>1606.91</v>
      </c>
      <c r="Q35" s="36">
        <f>+N35+P35-Q36-Q37</f>
        <v>11345.12</v>
      </c>
      <c r="R35" s="107"/>
      <c r="S35" s="107"/>
      <c r="T35" s="108">
        <v>3000</v>
      </c>
      <c r="U35" s="107"/>
      <c r="V35" s="107"/>
      <c r="W35" s="107"/>
      <c r="X35" s="107"/>
      <c r="Y35" s="107"/>
      <c r="Z35" s="107"/>
      <c r="AA35" s="109"/>
      <c r="AB35" s="107"/>
      <c r="AC35" s="110">
        <f>1356.3184+6988.8</f>
        <v>8345.1183999999994</v>
      </c>
      <c r="AD35" s="40">
        <f t="shared" si="1"/>
        <v>11345.118399999999</v>
      </c>
      <c r="AE35" s="38">
        <f>+Q35-AD35</f>
        <v>1.6000000014173565E-3</v>
      </c>
      <c r="AF35" s="38">
        <f>+AD35+AE35</f>
        <v>11345.12</v>
      </c>
      <c r="AG35" s="38">
        <v>11345.12</v>
      </c>
      <c r="AH35" s="41">
        <f t="shared" si="0"/>
        <v>0.99999985897020027</v>
      </c>
      <c r="AI35" s="58"/>
      <c r="AJ35" s="76" t="s">
        <v>49</v>
      </c>
      <c r="AK35" s="111" t="s">
        <v>87</v>
      </c>
    </row>
    <row r="36" spans="1:37" s="1" customFormat="1" ht="30">
      <c r="A36" s="47">
        <v>24</v>
      </c>
      <c r="B36" s="132"/>
      <c r="C36" s="104"/>
      <c r="D36" s="112" t="s">
        <v>143</v>
      </c>
      <c r="E36" s="135" t="s">
        <v>151</v>
      </c>
      <c r="F36" s="136"/>
      <c r="G36" s="105" t="s">
        <v>152</v>
      </c>
      <c r="H36" s="106"/>
      <c r="I36" s="49"/>
      <c r="J36" s="50"/>
      <c r="K36" s="50"/>
      <c r="L36" s="50">
        <v>1</v>
      </c>
      <c r="M36" s="50"/>
      <c r="N36" s="52"/>
      <c r="O36" s="52"/>
      <c r="P36" s="38"/>
      <c r="Q36" s="36">
        <v>7736.71</v>
      </c>
      <c r="R36" s="107"/>
      <c r="S36" s="107"/>
      <c r="T36" s="108"/>
      <c r="U36" s="107"/>
      <c r="V36" s="107"/>
      <c r="W36" s="107"/>
      <c r="X36" s="107"/>
      <c r="Y36" s="108">
        <f>6907.78*1.12</f>
        <v>7736.7136</v>
      </c>
      <c r="Z36" s="107"/>
      <c r="AA36" s="109"/>
      <c r="AB36" s="107"/>
      <c r="AC36" s="107"/>
      <c r="AD36" s="40">
        <f t="shared" si="1"/>
        <v>7736.7136</v>
      </c>
      <c r="AE36" s="38">
        <f>+AD36-Q36</f>
        <v>3.6000000000058208E-3</v>
      </c>
      <c r="AF36" s="38">
        <f t="shared" si="2"/>
        <v>7736.7172</v>
      </c>
      <c r="AG36" s="38">
        <v>7736.71</v>
      </c>
      <c r="AH36" s="41">
        <f t="shared" si="0"/>
        <v>1.0000004653140675</v>
      </c>
      <c r="AI36" s="58"/>
      <c r="AJ36" s="76" t="s">
        <v>49</v>
      </c>
      <c r="AK36" s="111" t="s">
        <v>87</v>
      </c>
    </row>
    <row r="37" spans="1:37" s="1" customFormat="1" ht="30">
      <c r="A37" s="47">
        <v>25</v>
      </c>
      <c r="B37" s="133"/>
      <c r="C37" s="104"/>
      <c r="D37" s="112" t="s">
        <v>143</v>
      </c>
      <c r="E37" s="135" t="s">
        <v>153</v>
      </c>
      <c r="F37" s="136"/>
      <c r="G37" s="105" t="s">
        <v>154</v>
      </c>
      <c r="H37" s="106"/>
      <c r="I37" s="49"/>
      <c r="J37" s="50"/>
      <c r="K37" s="50"/>
      <c r="L37" s="50"/>
      <c r="M37" s="50">
        <v>1</v>
      </c>
      <c r="N37" s="52"/>
      <c r="O37" s="52"/>
      <c r="P37" s="38"/>
      <c r="Q37" s="36">
        <v>7525.08</v>
      </c>
      <c r="R37" s="107"/>
      <c r="S37" s="107"/>
      <c r="T37" s="108"/>
      <c r="U37" s="107"/>
      <c r="V37" s="107"/>
      <c r="W37" s="107"/>
      <c r="X37" s="107"/>
      <c r="Y37" s="108"/>
      <c r="Z37" s="107"/>
      <c r="AA37" s="109"/>
      <c r="AB37" s="109">
        <v>7525.08</v>
      </c>
      <c r="AC37" s="107"/>
      <c r="AD37" s="40">
        <f t="shared" si="1"/>
        <v>7525.08</v>
      </c>
      <c r="AE37" s="38">
        <f>+Q37-AB37</f>
        <v>0</v>
      </c>
      <c r="AF37" s="38">
        <f t="shared" si="2"/>
        <v>7525.08</v>
      </c>
      <c r="AG37" s="38">
        <v>7525.08</v>
      </c>
      <c r="AH37" s="41">
        <f t="shared" si="0"/>
        <v>1</v>
      </c>
      <c r="AI37" s="58"/>
      <c r="AJ37" s="76" t="s">
        <v>49</v>
      </c>
      <c r="AK37" s="111" t="s">
        <v>87</v>
      </c>
    </row>
    <row r="38" spans="1:37" s="1" customFormat="1" ht="105">
      <c r="A38" s="47">
        <v>26</v>
      </c>
      <c r="B38" s="128" t="s">
        <v>82</v>
      </c>
      <c r="C38" s="47"/>
      <c r="D38" s="47" t="s">
        <v>83</v>
      </c>
      <c r="E38" s="125" t="s">
        <v>155</v>
      </c>
      <c r="F38" s="125"/>
      <c r="G38" s="32" t="s">
        <v>156</v>
      </c>
      <c r="H38" s="48" t="s">
        <v>157</v>
      </c>
      <c r="I38" s="49" t="s">
        <v>47</v>
      </c>
      <c r="J38" s="50">
        <v>0.25</v>
      </c>
      <c r="K38" s="50">
        <v>0.25</v>
      </c>
      <c r="L38" s="50">
        <v>0.25</v>
      </c>
      <c r="M38" s="50">
        <v>0.25</v>
      </c>
      <c r="N38" s="52">
        <f>10000-N39</f>
        <v>4731.5199999999995</v>
      </c>
      <c r="O38" s="52"/>
      <c r="P38" s="38"/>
      <c r="Q38" s="36">
        <f>+N38</f>
        <v>4731.5199999999995</v>
      </c>
      <c r="R38" s="104"/>
      <c r="S38" s="113">
        <f>+Q38</f>
        <v>4731.5199999999995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40">
        <f>+SUM(R38:AC38)</f>
        <v>4731.5199999999995</v>
      </c>
      <c r="AE38" s="38">
        <f>+Q38-AD38</f>
        <v>0</v>
      </c>
      <c r="AF38" s="38">
        <f t="shared" si="2"/>
        <v>4731.5199999999995</v>
      </c>
      <c r="AG38" s="38">
        <v>4731.5199999999995</v>
      </c>
      <c r="AH38" s="41">
        <f t="shared" si="0"/>
        <v>1</v>
      </c>
      <c r="AI38" s="52"/>
      <c r="AJ38" s="76" t="s">
        <v>49</v>
      </c>
      <c r="AK38" s="111" t="s">
        <v>87</v>
      </c>
    </row>
    <row r="39" spans="1:37" s="1" customFormat="1">
      <c r="A39" s="47">
        <v>27</v>
      </c>
      <c r="B39" s="130"/>
      <c r="C39" s="47"/>
      <c r="D39" s="86" t="s">
        <v>83</v>
      </c>
      <c r="E39" s="137" t="s">
        <v>158</v>
      </c>
      <c r="F39" s="138"/>
      <c r="G39" s="32"/>
      <c r="H39" s="48"/>
      <c r="I39" s="49"/>
      <c r="J39" s="50"/>
      <c r="K39" s="50">
        <v>1</v>
      </c>
      <c r="L39" s="50"/>
      <c r="M39" s="50"/>
      <c r="N39" s="52">
        <f>4704*1.12</f>
        <v>5268.4800000000005</v>
      </c>
      <c r="O39" s="52"/>
      <c r="P39" s="38"/>
      <c r="Q39" s="36">
        <f>+N39</f>
        <v>5268.4800000000005</v>
      </c>
      <c r="R39" s="104"/>
      <c r="S39" s="104"/>
      <c r="T39" s="104"/>
      <c r="U39" s="104"/>
      <c r="V39" s="104"/>
      <c r="W39" s="104"/>
      <c r="X39" s="114">
        <f>+Q39</f>
        <v>5268.4800000000005</v>
      </c>
      <c r="Y39" s="104"/>
      <c r="Z39" s="104"/>
      <c r="AA39" s="78"/>
      <c r="AB39" s="104"/>
      <c r="AC39" s="104"/>
      <c r="AD39" s="40">
        <f t="shared" si="1"/>
        <v>5268.4800000000005</v>
      </c>
      <c r="AE39" s="38">
        <f>+Q39-AD39</f>
        <v>0</v>
      </c>
      <c r="AF39" s="38">
        <f t="shared" si="2"/>
        <v>5268.4800000000005</v>
      </c>
      <c r="AG39" s="38">
        <v>5268.4800000000005</v>
      </c>
      <c r="AH39" s="41">
        <f t="shared" si="0"/>
        <v>1</v>
      </c>
      <c r="AI39" s="52"/>
      <c r="AJ39" s="76" t="s">
        <v>49</v>
      </c>
      <c r="AK39" s="77" t="s">
        <v>159</v>
      </c>
    </row>
    <row r="40" spans="1:37" s="1" customFormat="1" ht="30.75" thickBot="1">
      <c r="A40" s="47">
        <v>28</v>
      </c>
      <c r="B40" s="62" t="s">
        <v>82</v>
      </c>
      <c r="C40" s="47"/>
      <c r="D40" s="47" t="s">
        <v>83</v>
      </c>
      <c r="E40" s="125" t="s">
        <v>160</v>
      </c>
      <c r="F40" s="125"/>
      <c r="G40" s="32" t="s">
        <v>161</v>
      </c>
      <c r="H40" s="48" t="s">
        <v>86</v>
      </c>
      <c r="I40" s="49" t="s">
        <v>47</v>
      </c>
      <c r="J40" s="50">
        <v>0.25</v>
      </c>
      <c r="K40" s="50">
        <v>0.25</v>
      </c>
      <c r="L40" s="50">
        <v>0.25</v>
      </c>
      <c r="M40" s="50">
        <v>0.25</v>
      </c>
      <c r="N40" s="52">
        <v>7000</v>
      </c>
      <c r="O40" s="52"/>
      <c r="P40" s="38"/>
      <c r="Q40" s="36">
        <f>+N40</f>
        <v>7000</v>
      </c>
      <c r="R40" s="115"/>
      <c r="S40" s="87">
        <v>913.75</v>
      </c>
      <c r="T40" s="87"/>
      <c r="U40" s="87"/>
      <c r="V40" s="87"/>
      <c r="W40" s="87"/>
      <c r="X40" s="87"/>
      <c r="Y40" s="87"/>
      <c r="Z40" s="87"/>
      <c r="AA40" s="87"/>
      <c r="AB40" s="87"/>
      <c r="AC40" s="39">
        <v>5941.55</v>
      </c>
      <c r="AD40" s="40">
        <f>+SUM(R40:AC40)</f>
        <v>6855.3</v>
      </c>
      <c r="AE40" s="38">
        <f>+N40-AD40</f>
        <v>144.69999999999982</v>
      </c>
      <c r="AF40" s="38">
        <f t="shared" si="2"/>
        <v>7000</v>
      </c>
      <c r="AG40" s="38">
        <v>7000</v>
      </c>
      <c r="AH40" s="41">
        <f t="shared" si="0"/>
        <v>0.97932857142857144</v>
      </c>
      <c r="AI40" s="52"/>
      <c r="AJ40" s="76" t="s">
        <v>49</v>
      </c>
      <c r="AK40" s="116" t="s">
        <v>87</v>
      </c>
    </row>
    <row r="41" spans="1:37" s="1" customFormat="1" ht="15.75" thickBot="1">
      <c r="A41" s="117"/>
      <c r="B41" s="117"/>
      <c r="C41" s="117"/>
      <c r="D41" s="118"/>
      <c r="E41" s="126"/>
      <c r="F41" s="127"/>
      <c r="G41" s="87"/>
      <c r="H41" s="119"/>
      <c r="I41" s="121"/>
      <c r="J41" s="120"/>
      <c r="K41" s="120"/>
      <c r="L41" s="120"/>
      <c r="M41" s="120"/>
      <c r="N41" s="122">
        <f>+SUM(N13:N40)</f>
        <v>602292.57999999996</v>
      </c>
      <c r="O41" s="122">
        <f>+SUM(O13:O40)</f>
        <v>52088.07</v>
      </c>
      <c r="P41" s="122"/>
      <c r="Q41" s="122">
        <f>+SUM(Q13:Q40)</f>
        <v>602292.57999999984</v>
      </c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>
        <f>+SUM(AD13:AD40)</f>
        <v>527898.56599999999</v>
      </c>
      <c r="AE41" s="123">
        <f>+SUM(AE13:AE40)</f>
        <v>74394.822799999965</v>
      </c>
      <c r="AF41" s="123"/>
      <c r="AG41" s="123"/>
      <c r="AH41" s="123"/>
      <c r="AI41" s="120"/>
      <c r="AJ41" s="119"/>
      <c r="AK41" s="124"/>
    </row>
  </sheetData>
  <sheetProtection password="CC33" sheet="1" objects="1" scenarios="1"/>
  <mergeCells count="51">
    <mergeCell ref="A2:AK3"/>
    <mergeCell ref="A4:AK4"/>
    <mergeCell ref="A5:AK5"/>
    <mergeCell ref="A6:AK6"/>
    <mergeCell ref="A11:A12"/>
    <mergeCell ref="B11:C11"/>
    <mergeCell ref="D11:D12"/>
    <mergeCell ref="E11:F12"/>
    <mergeCell ref="G11:G12"/>
    <mergeCell ref="H11:H12"/>
    <mergeCell ref="E22:F22"/>
    <mergeCell ref="AI11:AI12"/>
    <mergeCell ref="AJ11:AJ12"/>
    <mergeCell ref="AK11:AK12"/>
    <mergeCell ref="E13:F13"/>
    <mergeCell ref="E14:F14"/>
    <mergeCell ref="E15:F15"/>
    <mergeCell ref="I11:I12"/>
    <mergeCell ref="J11:M11"/>
    <mergeCell ref="N11:N12"/>
    <mergeCell ref="O11:O12"/>
    <mergeCell ref="P11:P12"/>
    <mergeCell ref="Q11:Q12"/>
    <mergeCell ref="E16:F16"/>
    <mergeCell ref="E17:F17"/>
    <mergeCell ref="E18:F18"/>
    <mergeCell ref="E19:F19"/>
    <mergeCell ref="E20:F21"/>
    <mergeCell ref="E23:F23"/>
    <mergeCell ref="E24:F24"/>
    <mergeCell ref="E25:F25"/>
    <mergeCell ref="B26:B28"/>
    <mergeCell ref="E26:F26"/>
    <mergeCell ref="E27:F27"/>
    <mergeCell ref="E28:F28"/>
    <mergeCell ref="E40:F40"/>
    <mergeCell ref="E41:F41"/>
    <mergeCell ref="B23:B25"/>
    <mergeCell ref="B35:B37"/>
    <mergeCell ref="E35:F35"/>
    <mergeCell ref="E36:F36"/>
    <mergeCell ref="E37:F37"/>
    <mergeCell ref="B38:B39"/>
    <mergeCell ref="E38:F38"/>
    <mergeCell ref="E39:F39"/>
    <mergeCell ref="E29:F29"/>
    <mergeCell ref="E30:F30"/>
    <mergeCell ref="E31:F31"/>
    <mergeCell ref="E32:F32"/>
    <mergeCell ref="E33:F33"/>
    <mergeCell ref="E34:F34"/>
  </mergeCells>
  <pageMargins left="0.19685039370078741" right="0.23622047244094491" top="0.45" bottom="0.74803149606299213" header="0.31496062992125984" footer="0.31496062992125984"/>
  <pageSetup paperSize="9" scale="80" orientation="landscape" horizontalDpi="3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2016-03-30T20:33:43Z</cp:lastPrinted>
  <dcterms:created xsi:type="dcterms:W3CDTF">2016-03-30T19:56:16Z</dcterms:created>
  <dcterms:modified xsi:type="dcterms:W3CDTF">2016-03-30T20:35:22Z</dcterms:modified>
</cp:coreProperties>
</file>